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<sst xmlns="http://schemas.openxmlformats.org/spreadsheetml/2006/main" count="1075" uniqueCount="877">
  <si>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</si>
  <si>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</si>
  <si>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</si>
  <si>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</si>
  <si>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</si>
  <si>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</si>
  <si>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</si>
  <si>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</si>
  <si>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</si>
  <si>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</si>
  <si>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</si>
  <si>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</si>
  <si>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</si>
  <si>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</si>
  <si>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</si>
  <si>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</si>
  <si>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</si>
  <si>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</si>
  <si>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</si>
  <si>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</si>
  <si>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</si>
  <si>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</si>
  <si>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</si>
  <si>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</si>
  <si>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</si>
  <si>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</si>
  <si>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</si>
  <si>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</si>
  <si>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</si>
  <si>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</si>
  <si>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</si>
  <si>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</si>
  <si>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</si>
  <si>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</si>
  <si>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</si>
  <si>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</si>
  <si>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</si>
  <si>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</si>
  <si>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</si>
  <si>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</si>
  <si>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</si>
  <si>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</si>
  <si>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</si>
  <si>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</si>
  <si>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</si>
  <si>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</si>
  <si>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</si>
  <si>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</si>
  <si>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</si>
  <si>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</si>
  <si>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</si>
  <si>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</si>
  <si>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</si>
  <si>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</si>
  <si>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</si>
  <si>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</si>
  <si>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</si>
  <si>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</si>
  <si>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</si>
  <si>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</si>
  <si>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</si>
  <si>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</si>
  <si>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</si>
  <si>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</si>
  <si>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</si>
  <si>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</si>
  <si>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</si>
  <si>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</si>
  <si>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</si>
  <si>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</si>
  <si>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</si>
  <si>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</si>
  <si>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</si>
  <si>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</si>
  <si>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</si>
  <si>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</si>
  <si>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</si>
  <si>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</si>
  <si>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</si>
  <si>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</si>
  <si>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</si>
  <si>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</si>
  <si>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</si>
  <si>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</si>
  <si>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</si>
  <si>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</si>
  <si>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</si>
  <si>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</si>
  <si>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</si>
  <si>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</si>
  <si>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</si>
  <si>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</si>
  <si>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</si>
  <si>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</si>
  <si>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</si>
  <si>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</si>
  <si>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</si>
  <si>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</si>
  <si>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</si>
  <si>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</si>
  <si>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</si>
  <si>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</si>
  <si>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</si>
  <si>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</si>
  <si>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</si>
  <si>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</si>
  <si>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</si>
  <si>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</si>
  <si>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</si>
  <si>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</si>
  <si>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</si>
  <si>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</si>
  <si>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</si>
  <si>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</si>
  <si>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</si>
  <si>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</si>
  <si>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</si>
  <si>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</si>
  <si>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</si>
  <si>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</si>
  <si>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</si>
  <si>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</si>
  <si>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</si>
  <si>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</si>
  <si>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</si>
  <si>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</si>
  <si>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</si>
  <si>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</si>
  <si>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</si>
  <si>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</si>
  <si>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</si>
  <si>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</si>
  <si>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</si>
  <si>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</si>
  <si>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</si>
  <si>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</si>
  <si>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</si>
  <si>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</si>
  <si>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</si>
  <si>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</si>
  <si>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</si>
  <si>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</si>
  <si>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</si>
  <si>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</si>
  <si>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</si>
  <si>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</si>
  <si>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</si>
  <si>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</si>
  <si>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</si>
  <si>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</si>
  <si>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</si>
  <si>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</si>
  <si>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</si>
  <si>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</si>
  <si>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</si>
  <si>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</si>
  <si>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</si>
  <si>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</si>
  <si>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</si>
  <si>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</si>
  <si>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</si>
  <si>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</si>
  <si>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</si>
  <si>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</si>
  <si>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</si>
  <si>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</si>
  <si>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</si>
  <si>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</si>
  <si>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</si>
  <si>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</si>
  <si>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</si>
  <si>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</si>
  <si>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</si>
  <si>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</si>
  <si>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</si>
  <si>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</si>
  <si>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</si>
  <si>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</si>
  <si>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</si>
  <si>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</si>
  <si>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</si>
  <si>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</si>
  <si>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</si>
  <si>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</si>
  <si>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</si>
  <si>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</si>
  <si>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</si>
  <si>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</si>
  <si>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</si>
  <si>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</si>
  <si>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</si>
  <si>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</si>
  <si>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</si>
  <si>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</si>
  <si>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</si>
  <si>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</si>
  <si>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</si>
  <si>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</si>
  <si>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</si>
  <si>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</si>
  <si>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</si>
  <si>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</si>
  <si>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</si>
  <si>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</si>
  <si>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</si>
  <si>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</si>
  <si>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</si>
  <si>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</si>
  <si>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</si>
  <si>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</si>
  <si>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</si>
  <si>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</si>
  <si>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</si>
  <si>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</si>
  <si>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</si>
  <si>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</si>
  <si>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</si>
  <si>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</si>
  <si>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</si>
  <si>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</si>
  <si>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</si>
  <si>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</si>
  <si>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</si>
  <si>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</si>
  <si>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</si>
  <si>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</si>
  <si>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</si>
  <si>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</si>
  <si>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</si>
  <si>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</si>
  <si>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</si>
  <si>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</si>
  <si>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</si>
  <si>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</si>
  <si>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</si>
  <si>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</si>
  <si>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</si>
  <si>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</si>
  <si>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</si>
  <si>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</si>
  <si>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</si>
  <si>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</si>
  <si>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</si>
  <si>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</si>
  <si>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</si>
  <si>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</si>
  <si>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</si>
  <si>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</si>
  <si>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</si>
  <si>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</si>
  <si>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</si>
  <si>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</si>
  <si>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</si>
  <si>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</si>
  <si>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</si>
  <si>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</si>
  <si>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</si>
  <si>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</si>
  <si>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</si>
  <si>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</si>
  <si>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</si>
  <si>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</si>
  <si>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</si>
  <si>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</si>
  <si>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</si>
  <si>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</si>
  <si>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</si>
  <si>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</si>
  <si>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</si>
  <si>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</si>
  <si>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</si>
  <si>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</si>
  <si>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</si>
  <si>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</si>
  <si>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</si>
  <si>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</si>
  <si>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</si>
  <si>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</si>
  <si>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</si>
  <si>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</si>
  <si>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</si>
  <si>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</si>
  <si>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</si>
  <si>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</si>
  <si>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</si>
  <si>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</si>
  <si>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</si>
  <si>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</si>
  <si>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</si>
  <si>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</si>
  <si>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</si>
  <si>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</si>
  <si>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</si>
  <si>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</si>
  <si>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</si>
  <si>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</si>
  <si>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</si>
  <si>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</si>
  <si>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</si>
  <si>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</si>
  <si>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</si>
  <si>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</si>
  <si>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</si>
  <si>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</si>
  <si>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</si>
  <si>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</si>
  <si>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</si>
  <si>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</si>
  <si>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</si>
  <si>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</si>
  <si>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</si>
  <si>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</si>
  <si>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</si>
  <si>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</si>
  <si>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</si>
  <si>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</si>
  <si>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</si>
  <si>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</si>
  <si>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</si>
  <si>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</si>
  <si>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</si>
  <si>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</si>
  <si>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</si>
  <si>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</si>
  <si>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</si>
  <si>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</si>
  <si>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</si>
  <si>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</si>
  <si>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</si>
  <si>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</si>
  <si>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</si>
  <si>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</si>
  <si>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</si>
  <si>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</si>
  <si>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</si>
  <si>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</si>
  <si>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</si>
  <si>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</si>
  <si>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</si>
  <si>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</si>
  <si>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</si>
  <si>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</si>
  <si>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</si>
  <si>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</si>
  <si>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</si>
  <si>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</si>
  <si>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</si>
  <si>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</si>
  <si>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</si>
  <si>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</si>
  <si>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</si>
  <si>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</si>
  <si>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</si>
  <si>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</si>
  <si>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</si>
  <si>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</si>
  <si>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</si>
  <si>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</si>
  <si>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</si>
  <si>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</si>
  <si>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</si>
  <si>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</si>
  <si>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</si>
  <si>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</si>
  <si>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</si>
  <si>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</si>
  <si>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</si>
  <si>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</si>
  <si>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</si>
  <si>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</si>
  <si>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</si>
  <si>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</si>
  <si>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</si>
  <si>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</si>
  <si>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</si>
  <si>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</si>
  <si>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</si>
  <si>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</si>
  <si>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</si>
  <si>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</si>
  <si>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</si>
  <si>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</si>
  <si>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</si>
  <si>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</si>
  <si>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</si>
  <si>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</si>
  <si>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</si>
  <si>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</si>
  <si>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</si>
  <si>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</si>
  <si>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</si>
  <si>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</si>
  <si>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</si>
  <si>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</si>
  <si>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</si>
  <si>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</si>
  <si>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</si>
  <si>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</si>
  <si>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</si>
  <si>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</si>
  <si>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</si>
  <si>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</si>
  <si>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</si>
  <si>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</si>
  <si>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</si>
  <si>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</si>
  <si>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</si>
  <si>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</si>
  <si>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</si>
  <si>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</si>
  <si>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</si>
  <si>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</si>
  <si>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</si>
  <si>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</si>
  <si>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</si>
  <si>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</si>
  <si>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</si>
  <si>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</si>
  <si>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</si>
  <si>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</si>
  <si>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</si>
  <si>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</si>
  <si>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</si>
  <si>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</si>
  <si>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</si>
  <si>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</si>
  <si>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</si>
  <si>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</si>
  <si>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</si>
  <si>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</si>
  <si>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</si>
  <si>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</si>
  <si>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</si>
  <si>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</si>
  <si>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</si>
  <si>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</si>
  <si>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</si>
  <si>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</si>
  <si>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</si>
  <si>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</si>
  <si>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</si>
  <si>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</si>
  <si>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</si>
  <si>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</si>
  <si>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</si>
  <si>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</si>
  <si>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</si>
  <si>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</si>
  <si>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</si>
  <si>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</si>
  <si>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</si>
  <si>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</si>
  <si>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</si>
  <si>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</si>
  <si>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</si>
  <si>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</si>
  <si>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</si>
  <si>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</si>
  <si>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</si>
  <si>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</si>
  <si>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</si>
  <si>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</si>
  <si>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</si>
  <si>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</si>
  <si>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</si>
  <si>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</si>
  <si>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</si>
  <si>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</si>
  <si>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</si>
  <si>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</si>
  <si>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</si>
  <si>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</si>
  <si>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</si>
  <si>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</si>
  <si>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</si>
  <si>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</si>
  <si>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</si>
  <si>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</si>
  <si>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</si>
  <si>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</si>
  <si>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</si>
  <si>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</si>
  <si>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</si>
  <si>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</si>
  <si>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</si>
  <si>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</si>
  <si>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</si>
  <si>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</si>
  <si>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</si>
  <si>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</si>
  <si>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</si>
  <si>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</si>
  <si>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</si>
  <si>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</si>
  <si>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</si>
  <si>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</si>
  <si>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</si>
  <si>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</si>
  <si>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</si>
  <si>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</si>
  <si>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</si>
  <si>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</si>
  <si>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</si>
  <si>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</si>
  <si>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</si>
  <si>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</si>
  <si>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</si>
  <si>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</si>
  <si>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</si>
  <si>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</si>
  <si>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</si>
  <si>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</si>
  <si>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</si>
  <si>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</si>
  <si>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</si>
  <si>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</si>
  <si>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</si>
  <si>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</si>
  <si>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</si>
  <si>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</si>
  <si>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</si>
  <si>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</si>
  <si>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</si>
  <si>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</si>
  <si>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</si>
  <si>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</si>
  <si>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</si>
  <si>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</si>
  <si>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</si>
  <si>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</si>
  <si>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</si>
  <si>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</si>
  <si>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</si>
  <si>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</si>
  <si>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</si>
  <si>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</si>
  <si>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</si>
  <si>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</si>
  <si>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</si>
  <si>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</si>
  <si>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</si>
  <si>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</si>
  <si>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</si>
  <si>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</si>
  <si>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</si>
  <si>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</si>
  <si>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</si>
  <si>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</si>
  <si>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</si>
  <si>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</si>
  <si>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</si>
  <si>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</si>
  <si>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</si>
  <si>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</si>
  <si>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</si>
  <si>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</si>
  <si>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</si>
  <si>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</si>
  <si>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</si>
  <si>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</si>
  <si>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</si>
  <si>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</si>
  <si>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</si>
  <si>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</si>
  <si>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</si>
  <si>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</si>
  <si>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</si>
  <si>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</si>
  <si>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</si>
  <si>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</si>
  <si>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</si>
  <si>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</si>
  <si>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</si>
  <si>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</si>
  <si>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</si>
  <si>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</si>
  <si>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</si>
  <si>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</si>
  <si>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</si>
  <si>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</si>
  <si>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</si>
  <si>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</si>
  <si>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</si>
  <si>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</si>
  <si>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</si>
  <si>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</si>
  <si>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</si>
  <si>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</si>
  <si>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</si>
  <si>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</si>
  <si>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</si>
  <si>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</si>
  <si>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</si>
  <si>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</si>
  <si>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</si>
  <si>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</si>
  <si>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</si>
  <si>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</si>
  <si>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</si>
  <si>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</si>
  <si>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</si>
  <si>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</si>
  <si>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</si>
  <si>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</si>
  <si>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</si>
  <si>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</si>
  <si>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</si>
  <si>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</si>
  <si>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</si>
  <si>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</si>
  <si>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</si>
  <si>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</si>
  <si>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</si>
  <si>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</si>
  <si>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</si>
  <si>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</si>
  <si>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</si>
  <si>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</si>
  <si>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</si>
  <si>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</si>
  <si>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</si>
  <si>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</si>
  <si>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</si>
  <si>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</si>
  <si>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</si>
  <si>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</si>
  <si>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</si>
  <si>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</si>
  <si>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</si>
  <si>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</si>
  <si>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</si>
  <si>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</si>
  <si>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</si>
  <si>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</si>
  <si>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</si>
  <si>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</si>
  <si>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</si>
  <si>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</si>
  <si>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</si>
  <si>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</si>
  <si>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</si>
  <si>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</si>
  <si>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</si>
  <si>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</si>
  <si>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</si>
  <si>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</si>
  <si>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</si>
  <si>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</si>
  <si>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</si>
  <si>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</si>
  <si>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</si>
  <si>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</si>
  <si>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</si>
  <si>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</si>
  <si>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</si>
  <si>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</si>
  <si>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</si>
  <si>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</si>
  <si>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</si>
  <si>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</si>
  <si>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</si>
  <si>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</si>
  <si>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</si>
  <si>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</si>
  <si>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</si>
  <si>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</si>
  <si>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</si>
  <si>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</si>
  <si>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</si>
  <si>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</si>
  <si>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</si>
  <si>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</si>
  <si>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</si>
  <si>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</si>
  <si>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</si>
  <si>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</si>
  <si>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</si>
  <si>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</si>
  <si>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</si>
  <si>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</si>
  <si>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</si>
  <si>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</si>
  <si>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</si>
  <si>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</si>
  <si>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</si>
  <si>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</si>
  <si>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</si>
  <si>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</si>
  <si>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</si>
  <si>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</si>
  <si>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</si>
  <si>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</si>
  <si>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</si>
  <si>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</si>
  <si>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</si>
  <si>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</si>
  <si>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</si>
  <si>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</si>
  <si>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</si>
  <si>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</si>
  <si>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</si>
  <si>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</si>
  <si>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</si>
  <si>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</si>
  <si>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</si>
  <si>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</si>
  <si>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</si>
  <si>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</si>
  <si>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</si>
  <si>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</si>
  <si>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</si>
  <si>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</si>
  <si>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</si>
  <si>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</si>
  <si>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</si>
  <si>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</si>
  <si>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</si>
  <si>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</si>
  <si>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</si>
  <si>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</si>
  <si>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</si>
  <si>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</si>
  <si>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</si>
  <si>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</si>
  <si>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</si>
  <si>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</si>
  <si>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</si>
  <si>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</si>
  <si>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</si>
  <si>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</si>
  <si>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</si>
  <si>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</si>
  <si>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</si>
  <si>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</si>
  <si>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</si>
  <si>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</si>
  <si>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</si>
  <si>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</si>
  <si>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</si>
  <si>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</si>
  <si>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</si>
  <si>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</si>
  <si>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</si>
  <si>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</si>
  <si>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</si>
  <si>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</si>
  <si>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</si>
  <si>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</si>
  <si>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</si>
  <si>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</si>
  <si>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</si>
  <si>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</si>
  <si>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</si>
  <si>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</si>
  <si>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</si>
  <si>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</si>
  <si>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</si>
  <si>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</si>
  <si>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</si>
  <si>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</si>
  <si>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</si>
  <si>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</si>
  <si>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</si>
  <si>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</si>
  <si>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</si>
  <si>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</si>
  <si>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</si>
  <si>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</si>
  <si>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</si>
  <si>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</si>
  <si>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</si>
  <si>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</si>
  <si>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</si>
  <si>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</si>
  <si>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</si>
  <si>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</si>
  <si>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</si>
  <si>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</si>
  <si>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</si>
  <si>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</si>
  <si>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</si>
  <si>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</si>
  <si>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</si>
  <si>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</si>
  <si>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</si>
  <si>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</si>
  <si>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</si>
  <si>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</si>
  <si>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</si>
  <si>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</si>
  <si>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</si>
  <si>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</si>
  <si>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</si>
  <si>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</si>
  <si>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</si>
  <si>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</si>
  <si>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</si>
  <si>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</si>
  <si>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</si>
  <si>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</si>
  <si>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</si>
  <si>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</si>
  <si>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</si>
  <si>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</si>
  <si>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</si>
  <si>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</si>
  <si>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</si>
  <si>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</si>
  <si>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</si>
  <si>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</si>
  <si>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</si>
  <si>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</si>
  <si>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</si>
  <si>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</si>
  <si>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</si>
  <si>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</si>
  <si>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</si>
  <si>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</si>
  <si>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</si>
  <si>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</si>
  <si>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</si>
  <si>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</si>
  <si>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</si>
  <si>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</si>
  <si>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</si>
  <si>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</si>
  <si>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</si>
  <si>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</si>
  <si>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</si>
  <si>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</si>
  <si>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</si>
  <si>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</si>
  <si>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</si>
  <si>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</si>
  <si>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</si>
  <si>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</si>
  <si>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</si>
  <si>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</si>
  <si>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</si>
  <si>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</si>
  <si>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</si>
  <si>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</si>
  <si>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</si>
  <si>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</si>
  <si>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</si>
  <si>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</si>
  <si>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</si>
  <si>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</si>
  <si>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</si>
  <si>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</si>
  <si>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</si>
  <si>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</si>
  <si>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</si>
  <si>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</si>
  <si>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</si>
  <si>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</si>
  <si>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</si>
  <si>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</si>
  <si>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</si>
  <si>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</si>
  <si>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ВИНЗАВОД АД</t>
  </si>
  <si>
    <t xml:space="preserve">неконсолидиран </t>
  </si>
  <si>
    <t>В.Каменова</t>
  </si>
  <si>
    <t>Р.Чаталбашев</t>
  </si>
  <si>
    <t>/В.Каменова/</t>
  </si>
  <si>
    <t>/Р.Чаталбашев/</t>
  </si>
  <si>
    <t xml:space="preserve"> Ръководител:</t>
  </si>
  <si>
    <t xml:space="preserve">                                    Съставител:                          </t>
  </si>
  <si>
    <t>/Р.Ч.аталбашев/</t>
  </si>
  <si>
    <t xml:space="preserve">01.01.2007-31.12.2007 година </t>
  </si>
  <si>
    <t>21.02.2008 г.</t>
  </si>
  <si>
    <t xml:space="preserve">Дата на съставяне: 21.02.2008 година                                       </t>
  </si>
  <si>
    <t xml:space="preserve">Дата  на съставяне: 21.02.2008 година                                                                                                                             </t>
  </si>
  <si>
    <t>Дата на съставяне: 21.02.2008 година</t>
  </si>
  <si>
    <t xml:space="preserve">Дата на съставяне:21.02.2008 година </t>
  </si>
  <si>
    <t xml:space="preserve">Дата на съставяне:21.02.2008 година                     </t>
  </si>
  <si>
    <t>Дата на съставяне:21.02.2008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</si>
</sst>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9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860</v>
      </c>
      <c r="F3" s="217" t="s">
        <v>2</v>
      </c>
      <c r="G3" s="172"/>
      <c r="H3" s="461">
        <v>115040215</v>
      </c>
    </row>
    <row r="4" spans="1:8" ht="15">
      <c r="A4" s="579" t="s">
        <v>3</v>
      </c>
      <c r="B4" s="585"/>
      <c r="C4" s="585"/>
      <c r="D4" s="585"/>
      <c r="E4" s="504" t="s">
        <v>861</v>
      </c>
      <c r="F4" s="581" t="s">
        <v>4</v>
      </c>
      <c r="G4" s="582"/>
      <c r="H4" s="461">
        <v>175</v>
      </c>
    </row>
    <row r="5" spans="1:8" ht="15">
      <c r="A5" s="579" t="s">
        <v>5</v>
      </c>
      <c r="B5" s="580"/>
      <c r="C5" s="580"/>
      <c r="D5" s="580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1476</v>
      </c>
      <c r="D11" s="151">
        <v>1476</v>
      </c>
      <c r="E11" s="237" t="s">
        <v>22</v>
      </c>
      <c r="F11" s="242" t="s">
        <v>23</v>
      </c>
      <c r="G11" s="152">
        <v>10017</v>
      </c>
      <c r="H11" s="152">
        <v>385</v>
      </c>
    </row>
    <row r="12" spans="1:8" ht="15">
      <c r="A12" s="235" t="s">
        <v>24</v>
      </c>
      <c r="B12" s="241" t="s">
        <v>25</v>
      </c>
      <c r="C12" s="151">
        <v>2906</v>
      </c>
      <c r="D12" s="151">
        <v>3059</v>
      </c>
      <c r="E12" s="237" t="s">
        <v>26</v>
      </c>
      <c r="F12" s="242" t="s">
        <v>27</v>
      </c>
      <c r="G12" s="153">
        <v>10017</v>
      </c>
      <c r="H12" s="153">
        <v>385</v>
      </c>
    </row>
    <row r="13" spans="1:8" ht="15">
      <c r="A13" s="235" t="s">
        <v>28</v>
      </c>
      <c r="B13" s="241" t="s">
        <v>29</v>
      </c>
      <c r="C13" s="151">
        <v>991</v>
      </c>
      <c r="D13" s="151">
        <v>1165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849</v>
      </c>
      <c r="D14" s="151">
        <v>890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74</v>
      </c>
      <c r="D15" s="151">
        <v>71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</v>
      </c>
      <c r="D16" s="151">
        <v>38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</v>
      </c>
      <c r="D17" s="151">
        <v>14</v>
      </c>
      <c r="E17" s="243" t="s">
        <v>46</v>
      </c>
      <c r="F17" s="245" t="s">
        <v>47</v>
      </c>
      <c r="G17" s="154">
        <f>G11+G14+G15+G16</f>
        <v>10017</v>
      </c>
      <c r="H17" s="154">
        <f>H11+H14+H15+H16</f>
        <v>385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6327</v>
      </c>
      <c r="D19" s="155">
        <f>SUM(D11:D18)</f>
        <v>6713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2921</v>
      </c>
      <c r="H20" s="158">
        <v>2917</v>
      </c>
    </row>
    <row r="21" spans="1:18" ht="15">
      <c r="A21" s="235" t="s">
        <v>59</v>
      </c>
      <c r="B21" s="250" t="s">
        <v>60</v>
      </c>
      <c r="C21" s="151">
        <v>658</v>
      </c>
      <c r="D21" s="151">
        <v>688</v>
      </c>
      <c r="E21" s="251" t="s">
        <v>61</v>
      </c>
      <c r="F21" s="242" t="s">
        <v>62</v>
      </c>
      <c r="G21" s="156">
        <f>SUM(G22:G24)</f>
        <v>389</v>
      </c>
      <c r="H21" s="156">
        <f>SUM(H22:H24)</f>
        <v>9847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389</v>
      </c>
      <c r="H22" s="152">
        <v>9847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3310</v>
      </c>
      <c r="H25" s="154">
        <f>H19+H20+H21</f>
        <v>12764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425</v>
      </c>
      <c r="H31" s="152">
        <v>169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425</v>
      </c>
      <c r="H33" s="154">
        <f>H27+H31+H32</f>
        <v>174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13752</v>
      </c>
      <c r="H36" s="154">
        <f>H25+H17+H33</f>
        <v>13323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3203</v>
      </c>
      <c r="H44" s="152">
        <v>3500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79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3282</v>
      </c>
      <c r="H49" s="154">
        <f>SUM(H43:H48)</f>
        <v>3500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196</v>
      </c>
      <c r="H53" s="152">
        <v>199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6991</v>
      </c>
      <c r="D55" s="155">
        <f>D19+D20+D21+D27+D32+D45+D51+D53+D54</f>
        <v>7404</v>
      </c>
      <c r="E55" s="237" t="s">
        <v>172</v>
      </c>
      <c r="F55" s="261" t="s">
        <v>173</v>
      </c>
      <c r="G55" s="154">
        <f>G49+G51+G52+G53+G54</f>
        <v>3478</v>
      </c>
      <c r="H55" s="154">
        <f>H49+H51+H52+H53+H54</f>
        <v>3699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990</v>
      </c>
      <c r="D58" s="151">
        <v>1003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5571</v>
      </c>
      <c r="D59" s="151">
        <v>6118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11</v>
      </c>
      <c r="D60" s="151">
        <v>18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949</v>
      </c>
      <c r="H61" s="154">
        <f>SUM(H62:H68)</f>
        <v>465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14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6572</v>
      </c>
      <c r="D64" s="155">
        <f>SUM(D58:D63)</f>
        <v>7139</v>
      </c>
      <c r="E64" s="237" t="s">
        <v>200</v>
      </c>
      <c r="F64" s="242" t="s">
        <v>201</v>
      </c>
      <c r="G64" s="152">
        <v>523</v>
      </c>
      <c r="H64" s="152">
        <v>303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</v>
      </c>
      <c r="H65" s="152">
        <v>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73</v>
      </c>
      <c r="H66" s="152">
        <v>50</v>
      </c>
    </row>
    <row r="67" spans="1:8" ht="15">
      <c r="A67" s="235" t="s">
        <v>207</v>
      </c>
      <c r="B67" s="241" t="s">
        <v>208</v>
      </c>
      <c r="C67" s="151">
        <v>3542</v>
      </c>
      <c r="D67" s="151">
        <v>2030</v>
      </c>
      <c r="E67" s="237" t="s">
        <v>209</v>
      </c>
      <c r="F67" s="242" t="s">
        <v>210</v>
      </c>
      <c r="G67" s="152">
        <v>25</v>
      </c>
      <c r="H67" s="152">
        <v>22</v>
      </c>
    </row>
    <row r="68" spans="1:8" ht="15">
      <c r="A68" s="235" t="s">
        <v>211</v>
      </c>
      <c r="B68" s="241" t="s">
        <v>212</v>
      </c>
      <c r="C68" s="151">
        <v>1495</v>
      </c>
      <c r="D68" s="151">
        <v>1846</v>
      </c>
      <c r="E68" s="237" t="s">
        <v>213</v>
      </c>
      <c r="F68" s="242" t="s">
        <v>214</v>
      </c>
      <c r="G68" s="152">
        <v>323</v>
      </c>
      <c r="H68" s="152">
        <v>71</v>
      </c>
    </row>
    <row r="69" spans="1:8" ht="15">
      <c r="A69" s="235" t="s">
        <v>215</v>
      </c>
      <c r="B69" s="241" t="s">
        <v>216</v>
      </c>
      <c r="C69" s="151">
        <v>290</v>
      </c>
      <c r="D69" s="151">
        <v>108</v>
      </c>
      <c r="E69" s="251" t="s">
        <v>78</v>
      </c>
      <c r="F69" s="242" t="s">
        <v>217</v>
      </c>
      <c r="G69" s="152">
        <v>35</v>
      </c>
      <c r="H69" s="152">
        <v>32</v>
      </c>
    </row>
    <row r="70" spans="1:8" ht="15">
      <c r="A70" s="235" t="s">
        <v>218</v>
      </c>
      <c r="B70" s="241" t="s">
        <v>219</v>
      </c>
      <c r="C70" s="151">
        <v>0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146</v>
      </c>
      <c r="D71" s="151">
        <v>64</v>
      </c>
      <c r="E71" s="253" t="s">
        <v>46</v>
      </c>
      <c r="F71" s="273" t="s">
        <v>224</v>
      </c>
      <c r="G71" s="161">
        <f>G59+G60+G61+G69+G70</f>
        <v>984</v>
      </c>
      <c r="H71" s="161">
        <f>H59+H60+H61+H69+H70</f>
        <v>497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</v>
      </c>
      <c r="D72" s="151">
        <v>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88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5494</v>
      </c>
      <c r="D75" s="155">
        <f>SUM(D67:D74)</f>
        <v>4168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1103</v>
      </c>
      <c r="H76" s="152">
        <v>1387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2087</v>
      </c>
      <c r="H79" s="162">
        <f>H71+H74+H75+H76</f>
        <v>1884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38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201</v>
      </c>
      <c r="D88" s="151">
        <v>169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239</v>
      </c>
      <c r="D91" s="155">
        <f>SUM(D87:D90)</f>
        <v>176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21</v>
      </c>
      <c r="D92" s="151">
        <v>19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12326</v>
      </c>
      <c r="D93" s="155">
        <f>D64+D75+D84+D91+D92</f>
        <v>11502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19317</v>
      </c>
      <c r="D94" s="164">
        <f>D93+D55</f>
        <v>18906</v>
      </c>
      <c r="E94" s="449" t="s">
        <v>270</v>
      </c>
      <c r="F94" s="289" t="s">
        <v>271</v>
      </c>
      <c r="G94" s="165">
        <f>G36+G39+G55+G79</f>
        <v>19317</v>
      </c>
      <c r="H94" s="165">
        <f>H36+H39+H55+H79</f>
        <v>18906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1" ht="12.75">
      <c r="D101" s="169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1">
      <selection activeCell="C38" sqref="C3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ВИНЗАВОД АД</v>
      </c>
      <c r="C2" s="588"/>
      <c r="D2" s="588"/>
      <c r="E2" s="588"/>
      <c r="F2" s="590" t="s">
        <v>2</v>
      </c>
      <c r="G2" s="590"/>
      <c r="H2" s="526">
        <f>'справка №1-БАЛАНС'!H3</f>
        <v>115040215</v>
      </c>
    </row>
    <row r="3" spans="1:8" ht="15">
      <c r="A3" s="467" t="s">
        <v>275</v>
      </c>
      <c r="B3" s="588" t="str">
        <f>'справка №1-БАЛАНС'!E4</f>
        <v>неконсолидиран </v>
      </c>
      <c r="C3" s="588"/>
      <c r="D3" s="588"/>
      <c r="E3" s="588"/>
      <c r="F3" s="546" t="s">
        <v>4</v>
      </c>
      <c r="G3" s="527"/>
      <c r="H3" s="527">
        <f>'справка №1-БАЛАНС'!H4</f>
        <v>175</v>
      </c>
    </row>
    <row r="4" spans="1:8" ht="17.25" customHeight="1">
      <c r="A4" s="467" t="s">
        <v>5</v>
      </c>
      <c r="B4" s="589" t="str">
        <f>'справка №1-БАЛАНС'!E5</f>
        <v>01.01.2007-31.12.2007 година 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4283</v>
      </c>
      <c r="D9" s="46">
        <v>3974</v>
      </c>
      <c r="E9" s="298" t="s">
        <v>285</v>
      </c>
      <c r="F9" s="549" t="s">
        <v>286</v>
      </c>
      <c r="G9" s="550">
        <v>6717</v>
      </c>
      <c r="H9" s="550">
        <v>5843</v>
      </c>
    </row>
    <row r="10" spans="1:8" ht="12">
      <c r="A10" s="298" t="s">
        <v>287</v>
      </c>
      <c r="B10" s="299" t="s">
        <v>288</v>
      </c>
      <c r="C10" s="46">
        <v>518</v>
      </c>
      <c r="D10" s="46">
        <v>393</v>
      </c>
      <c r="E10" s="298" t="s">
        <v>289</v>
      </c>
      <c r="F10" s="549" t="s">
        <v>290</v>
      </c>
      <c r="G10" s="550">
        <v>275</v>
      </c>
      <c r="H10" s="550">
        <v>260</v>
      </c>
    </row>
    <row r="11" spans="1:8" ht="12">
      <c r="A11" s="298" t="s">
        <v>291</v>
      </c>
      <c r="B11" s="299" t="s">
        <v>292</v>
      </c>
      <c r="C11" s="46">
        <v>462</v>
      </c>
      <c r="D11" s="46">
        <v>987</v>
      </c>
      <c r="E11" s="300" t="s">
        <v>293</v>
      </c>
      <c r="F11" s="549" t="s">
        <v>294</v>
      </c>
      <c r="G11" s="550">
        <v>216</v>
      </c>
      <c r="H11" s="550">
        <v>265</v>
      </c>
    </row>
    <row r="12" spans="1:8" ht="12">
      <c r="A12" s="298" t="s">
        <v>295</v>
      </c>
      <c r="B12" s="299" t="s">
        <v>296</v>
      </c>
      <c r="C12" s="46">
        <v>776</v>
      </c>
      <c r="D12" s="46">
        <v>658</v>
      </c>
      <c r="E12" s="300" t="s">
        <v>78</v>
      </c>
      <c r="F12" s="549" t="s">
        <v>297</v>
      </c>
      <c r="G12" s="550">
        <v>300</v>
      </c>
      <c r="H12" s="550">
        <v>243</v>
      </c>
    </row>
    <row r="13" spans="1:18" ht="12">
      <c r="A13" s="298" t="s">
        <v>298</v>
      </c>
      <c r="B13" s="299" t="s">
        <v>299</v>
      </c>
      <c r="C13" s="46">
        <v>183</v>
      </c>
      <c r="D13" s="46">
        <v>168</v>
      </c>
      <c r="E13" s="301" t="s">
        <v>51</v>
      </c>
      <c r="F13" s="551" t="s">
        <v>300</v>
      </c>
      <c r="G13" s="548">
        <f>SUM(G9:G12)</f>
        <v>7508</v>
      </c>
      <c r="H13" s="548">
        <f>SUM(H9:H12)</f>
        <v>6611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204</v>
      </c>
      <c r="D14" s="46">
        <v>206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429</v>
      </c>
      <c r="D15" s="47">
        <v>66</v>
      </c>
      <c r="E15" s="296" t="s">
        <v>305</v>
      </c>
      <c r="F15" s="554" t="s">
        <v>306</v>
      </c>
      <c r="G15" s="550">
        <v>323</v>
      </c>
      <c r="H15" s="550">
        <v>459</v>
      </c>
    </row>
    <row r="16" spans="1:8" ht="12">
      <c r="A16" s="298" t="s">
        <v>307</v>
      </c>
      <c r="B16" s="299" t="s">
        <v>308</v>
      </c>
      <c r="C16" s="47">
        <v>237</v>
      </c>
      <c r="D16" s="47">
        <v>114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7092</v>
      </c>
      <c r="D19" s="49">
        <f>SUM(D9:D15)+D16</f>
        <v>6566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210</v>
      </c>
      <c r="D22" s="46">
        <v>227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71</v>
      </c>
      <c r="D25" s="46">
        <v>96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282</v>
      </c>
      <c r="D26" s="49">
        <f>SUM(D22:D25)</f>
        <v>323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7374</v>
      </c>
      <c r="D28" s="50">
        <f>D26+D19</f>
        <v>6889</v>
      </c>
      <c r="E28" s="127" t="s">
        <v>339</v>
      </c>
      <c r="F28" s="554" t="s">
        <v>340</v>
      </c>
      <c r="G28" s="548">
        <f>G13+G15+G24</f>
        <v>7831</v>
      </c>
      <c r="H28" s="548">
        <f>H13+H15+H24</f>
        <v>7070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457</v>
      </c>
      <c r="D30" s="50">
        <f>IF((H28-D28)&gt;0,H28-D28,0)</f>
        <v>181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7374</v>
      </c>
      <c r="D33" s="49">
        <f>D28+D31+D32</f>
        <v>6889</v>
      </c>
      <c r="E33" s="127" t="s">
        <v>353</v>
      </c>
      <c r="F33" s="554" t="s">
        <v>354</v>
      </c>
      <c r="G33" s="53">
        <f>G32+G31+G28</f>
        <v>7831</v>
      </c>
      <c r="H33" s="53">
        <f>H32+H31+H28</f>
        <v>7070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457</v>
      </c>
      <c r="D34" s="50">
        <f>IF((H33-D33)&gt;0,H33-D33,0)</f>
        <v>181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32</v>
      </c>
      <c r="D35" s="49">
        <f>D36+D37+D38</f>
        <v>12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42</v>
      </c>
      <c r="D36" s="46">
        <v>12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-10</v>
      </c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425</v>
      </c>
      <c r="D39" s="460">
        <f>+IF((H33-D33-D35)&gt;0,H33-D33-D35,0)</f>
        <v>169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425</v>
      </c>
      <c r="D41" s="52">
        <f>IF(H39=0,IF(D39-D40&gt;0,D39-D40+H40,0),IF(H39-H40&lt;0,H40-H39+D39,0))</f>
        <v>169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7831</v>
      </c>
      <c r="D42" s="53">
        <f>D33+D35+D39</f>
        <v>7070</v>
      </c>
      <c r="E42" s="128" t="s">
        <v>380</v>
      </c>
      <c r="F42" s="129" t="s">
        <v>381</v>
      </c>
      <c r="G42" s="53">
        <f>G39+G33</f>
        <v>7831</v>
      </c>
      <c r="H42" s="53">
        <f>H39+H33</f>
        <v>7070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858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870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862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863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ВИНЗАВОД АД</v>
      </c>
      <c r="C4" s="541" t="s">
        <v>2</v>
      </c>
      <c r="D4" s="541">
        <f>'справка №1-БАЛАНС'!H3</f>
        <v>115040215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</v>
      </c>
      <c r="C5" s="542" t="s">
        <v>4</v>
      </c>
      <c r="D5" s="541">
        <f>'справка №1-БАЛАНС'!H4</f>
        <v>175</v>
      </c>
    </row>
    <row r="6" spans="1:6" ht="12" customHeight="1">
      <c r="A6" s="471" t="s">
        <v>5</v>
      </c>
      <c r="B6" s="506" t="str">
        <f>'справка №1-БАЛАНС'!E5</f>
        <v>01.01.2007-31.12.2007 година 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6731</v>
      </c>
      <c r="D10" s="54">
        <v>7647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-5062</v>
      </c>
      <c r="D11" s="54">
        <v>-5034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-815</v>
      </c>
      <c r="D13" s="54">
        <v>-736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-169</v>
      </c>
      <c r="D14" s="54">
        <v>-502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-8</v>
      </c>
      <c r="D15" s="54">
        <v>-22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-71</v>
      </c>
      <c r="D17" s="54">
        <v>-203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22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626</v>
      </c>
      <c r="D20" s="55">
        <f>SUM(D10:D19)</f>
        <v>1143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-56</v>
      </c>
      <c r="D22" s="54">
        <v>-160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-56</v>
      </c>
      <c r="D32" s="55">
        <f>SUM(D22:D31)</f>
        <v>-149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2253</v>
      </c>
      <c r="D36" s="54">
        <v>940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-2550</v>
      </c>
      <c r="D37" s="54">
        <v>-1896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-210</v>
      </c>
      <c r="D39" s="54">
        <v>-90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-507</v>
      </c>
      <c r="D42" s="55">
        <f>SUM(D34:D41)</f>
        <v>-1046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63</v>
      </c>
      <c r="D43" s="55">
        <f>D42+D32+D20</f>
        <v>-52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176</v>
      </c>
      <c r="D44" s="132">
        <v>228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239</v>
      </c>
      <c r="D45" s="55">
        <f>D44+D43</f>
        <v>176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239</v>
      </c>
      <c r="D46" s="56">
        <v>176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76"/>
      <c r="D52" s="576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ВИНЗАВОД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115040215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 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175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01.01.2007-31.12.2007 година 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385</v>
      </c>
      <c r="D11" s="58">
        <f>'справка №1-БАЛАНС'!H19</f>
        <v>0</v>
      </c>
      <c r="E11" s="58">
        <f>'справка №1-БАЛАНС'!H20</f>
        <v>2917</v>
      </c>
      <c r="F11" s="58">
        <f>'справка №1-БАЛАНС'!H22</f>
        <v>9847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174</v>
      </c>
      <c r="J11" s="58">
        <f>'справка №1-БАЛАНС'!H29+'справка №1-БАЛАНС'!H32</f>
        <v>0</v>
      </c>
      <c r="K11" s="60"/>
      <c r="L11" s="344">
        <f>SUM(C11:K11)</f>
        <v>13323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385</v>
      </c>
      <c r="D15" s="61">
        <f aca="true" t="shared" si="2" ref="D15:M15">D11+D12</f>
        <v>0</v>
      </c>
      <c r="E15" s="61">
        <f t="shared" si="2"/>
        <v>2917</v>
      </c>
      <c r="F15" s="61">
        <f t="shared" si="2"/>
        <v>9847</v>
      </c>
      <c r="G15" s="61">
        <f t="shared" si="2"/>
        <v>0</v>
      </c>
      <c r="H15" s="61">
        <f t="shared" si="2"/>
        <v>0</v>
      </c>
      <c r="I15" s="61">
        <f t="shared" si="2"/>
        <v>174</v>
      </c>
      <c r="J15" s="61">
        <f t="shared" si="2"/>
        <v>0</v>
      </c>
      <c r="K15" s="61">
        <f t="shared" si="2"/>
        <v>0</v>
      </c>
      <c r="L15" s="344">
        <f t="shared" si="1"/>
        <v>13323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425</v>
      </c>
      <c r="J16" s="345">
        <f>+'справка №1-БАЛАНС'!G32</f>
        <v>0</v>
      </c>
      <c r="K16" s="60"/>
      <c r="L16" s="344">
        <f t="shared" si="1"/>
        <v>425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174</v>
      </c>
      <c r="G17" s="62">
        <f t="shared" si="3"/>
        <v>0</v>
      </c>
      <c r="H17" s="62">
        <f t="shared" si="3"/>
        <v>0</v>
      </c>
      <c r="I17" s="62">
        <f t="shared" si="3"/>
        <v>-174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174</v>
      </c>
      <c r="G19" s="60"/>
      <c r="H19" s="60"/>
      <c r="I19" s="60">
        <v>-174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>
        <v>4</v>
      </c>
      <c r="F27" s="60"/>
      <c r="G27" s="60"/>
      <c r="H27" s="60"/>
      <c r="I27" s="60"/>
      <c r="J27" s="60"/>
      <c r="K27" s="60"/>
      <c r="L27" s="344">
        <f t="shared" si="1"/>
        <v>4</v>
      </c>
      <c r="M27" s="60"/>
      <c r="N27" s="11"/>
    </row>
    <row r="28" spans="1:14" ht="12">
      <c r="A28" s="12" t="s">
        <v>512</v>
      </c>
      <c r="B28" s="8" t="s">
        <v>513</v>
      </c>
      <c r="C28" s="60">
        <v>9632</v>
      </c>
      <c r="D28" s="60"/>
      <c r="E28" s="60"/>
      <c r="F28" s="60">
        <v>-9632</v>
      </c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10017</v>
      </c>
      <c r="D29" s="59">
        <f aca="true" t="shared" si="6" ref="D29:M29">D17+D20+D21+D24+D28+D27+D15+D16</f>
        <v>0</v>
      </c>
      <c r="E29" s="59">
        <f t="shared" si="6"/>
        <v>2921</v>
      </c>
      <c r="F29" s="59">
        <f t="shared" si="6"/>
        <v>389</v>
      </c>
      <c r="G29" s="59">
        <f t="shared" si="6"/>
        <v>0</v>
      </c>
      <c r="H29" s="59">
        <f t="shared" si="6"/>
        <v>0</v>
      </c>
      <c r="I29" s="59">
        <f t="shared" si="6"/>
        <v>425</v>
      </c>
      <c r="J29" s="59">
        <f t="shared" si="6"/>
        <v>0</v>
      </c>
      <c r="K29" s="59">
        <f t="shared" si="6"/>
        <v>0</v>
      </c>
      <c r="L29" s="344">
        <f t="shared" si="1"/>
        <v>13752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10017</v>
      </c>
      <c r="D32" s="59">
        <f t="shared" si="7"/>
        <v>0</v>
      </c>
      <c r="E32" s="59">
        <f t="shared" si="7"/>
        <v>2921</v>
      </c>
      <c r="F32" s="59">
        <f t="shared" si="7"/>
        <v>389</v>
      </c>
      <c r="G32" s="59">
        <f t="shared" si="7"/>
        <v>0</v>
      </c>
      <c r="H32" s="59">
        <f t="shared" si="7"/>
        <v>0</v>
      </c>
      <c r="I32" s="59">
        <f t="shared" si="7"/>
        <v>425</v>
      </c>
      <c r="J32" s="59">
        <f t="shared" si="7"/>
        <v>0</v>
      </c>
      <c r="K32" s="59">
        <f t="shared" si="7"/>
        <v>0</v>
      </c>
      <c r="L32" s="344">
        <f t="shared" si="1"/>
        <v>13752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78" t="s">
        <v>382</v>
      </c>
      <c r="E38" s="578"/>
      <c r="F38" s="578"/>
      <c r="G38" s="578"/>
      <c r="H38" s="578"/>
      <c r="I38" s="578"/>
      <c r="J38" s="15" t="s">
        <v>866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5">
      <selection activeCell="F44" sqref="F44:F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ВИНЗАВОД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115040215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01.01.2007-31.12.2007 година 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175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1476</v>
      </c>
      <c r="E9" s="189"/>
      <c r="F9" s="189"/>
      <c r="G9" s="74">
        <f>D9+E9-F9</f>
        <v>1476</v>
      </c>
      <c r="H9" s="65"/>
      <c r="I9" s="65"/>
      <c r="J9" s="74">
        <f>G9+H9-I9</f>
        <v>1476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1476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3830</v>
      </c>
      <c r="E10" s="189"/>
      <c r="F10" s="189"/>
      <c r="G10" s="74">
        <f aca="true" t="shared" si="2" ref="G10:G39">D10+E10-F10</f>
        <v>3830</v>
      </c>
      <c r="H10" s="65"/>
      <c r="I10" s="65"/>
      <c r="J10" s="74">
        <f aca="true" t="shared" si="3" ref="J10:J39">G10+H10-I10</f>
        <v>3830</v>
      </c>
      <c r="K10" s="65">
        <v>771</v>
      </c>
      <c r="L10" s="65">
        <v>153</v>
      </c>
      <c r="M10" s="65"/>
      <c r="N10" s="74">
        <f aca="true" t="shared" si="4" ref="N10:N39">K10+L10-M10</f>
        <v>924</v>
      </c>
      <c r="O10" s="65"/>
      <c r="P10" s="65"/>
      <c r="Q10" s="74">
        <f t="shared" si="0"/>
        <v>924</v>
      </c>
      <c r="R10" s="74">
        <f t="shared" si="1"/>
        <v>2906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4771</v>
      </c>
      <c r="E11" s="189">
        <v>17</v>
      </c>
      <c r="F11" s="189">
        <v>2</v>
      </c>
      <c r="G11" s="74">
        <f t="shared" si="2"/>
        <v>4786</v>
      </c>
      <c r="H11" s="65"/>
      <c r="I11" s="65"/>
      <c r="J11" s="74">
        <f t="shared" si="3"/>
        <v>4786</v>
      </c>
      <c r="K11" s="65">
        <v>3606</v>
      </c>
      <c r="L11" s="65">
        <v>191</v>
      </c>
      <c r="M11" s="65">
        <v>2</v>
      </c>
      <c r="N11" s="74">
        <f t="shared" si="4"/>
        <v>3795</v>
      </c>
      <c r="O11" s="65"/>
      <c r="P11" s="65"/>
      <c r="Q11" s="74">
        <f t="shared" si="0"/>
        <v>3795</v>
      </c>
      <c r="R11" s="74">
        <f t="shared" si="1"/>
        <v>991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1211</v>
      </c>
      <c r="E12" s="189">
        <v>7</v>
      </c>
      <c r="F12" s="189"/>
      <c r="G12" s="74">
        <f t="shared" si="2"/>
        <v>1218</v>
      </c>
      <c r="H12" s="65"/>
      <c r="I12" s="65"/>
      <c r="J12" s="74">
        <f t="shared" si="3"/>
        <v>1218</v>
      </c>
      <c r="K12" s="65">
        <v>321</v>
      </c>
      <c r="L12" s="65">
        <v>48</v>
      </c>
      <c r="M12" s="65"/>
      <c r="N12" s="74">
        <f t="shared" si="4"/>
        <v>369</v>
      </c>
      <c r="O12" s="65"/>
      <c r="P12" s="65"/>
      <c r="Q12" s="74">
        <f t="shared" si="0"/>
        <v>369</v>
      </c>
      <c r="R12" s="74">
        <f t="shared" si="1"/>
        <v>849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324</v>
      </c>
      <c r="E13" s="189">
        <v>27</v>
      </c>
      <c r="F13" s="189"/>
      <c r="G13" s="74">
        <f t="shared" si="2"/>
        <v>351</v>
      </c>
      <c r="H13" s="65"/>
      <c r="I13" s="65"/>
      <c r="J13" s="74">
        <f t="shared" si="3"/>
        <v>351</v>
      </c>
      <c r="K13" s="65">
        <v>253</v>
      </c>
      <c r="L13" s="65">
        <v>24</v>
      </c>
      <c r="M13" s="65"/>
      <c r="N13" s="74">
        <f t="shared" si="4"/>
        <v>277</v>
      </c>
      <c r="O13" s="65"/>
      <c r="P13" s="65"/>
      <c r="Q13" s="74">
        <f t="shared" si="0"/>
        <v>277</v>
      </c>
      <c r="R13" s="74">
        <f t="shared" si="1"/>
        <v>74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90</v>
      </c>
      <c r="E14" s="189">
        <v>5</v>
      </c>
      <c r="F14" s="189"/>
      <c r="G14" s="74">
        <f t="shared" si="2"/>
        <v>95</v>
      </c>
      <c r="H14" s="65"/>
      <c r="I14" s="65"/>
      <c r="J14" s="74">
        <f t="shared" si="3"/>
        <v>95</v>
      </c>
      <c r="K14" s="65">
        <v>52</v>
      </c>
      <c r="L14" s="65">
        <v>13</v>
      </c>
      <c r="M14" s="65"/>
      <c r="N14" s="74">
        <f t="shared" si="4"/>
        <v>65</v>
      </c>
      <c r="O14" s="65"/>
      <c r="P14" s="65"/>
      <c r="Q14" s="74">
        <f t="shared" si="0"/>
        <v>65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14</v>
      </c>
      <c r="E15" s="457">
        <v>6</v>
      </c>
      <c r="F15" s="457">
        <v>19</v>
      </c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11716</v>
      </c>
      <c r="E17" s="194">
        <f>SUM(E9:E16)</f>
        <v>62</v>
      </c>
      <c r="F17" s="194">
        <f>SUM(F9:F16)</f>
        <v>21</v>
      </c>
      <c r="G17" s="74">
        <f t="shared" si="2"/>
        <v>11757</v>
      </c>
      <c r="H17" s="75">
        <f>SUM(H9:H16)</f>
        <v>0</v>
      </c>
      <c r="I17" s="75">
        <f>SUM(I9:I16)</f>
        <v>0</v>
      </c>
      <c r="J17" s="74">
        <f t="shared" si="3"/>
        <v>11757</v>
      </c>
      <c r="K17" s="75">
        <f>SUM(K9:K16)</f>
        <v>5003</v>
      </c>
      <c r="L17" s="75">
        <f>SUM(L9:L16)</f>
        <v>429</v>
      </c>
      <c r="M17" s="75">
        <f>SUM(M9:M16)</f>
        <v>2</v>
      </c>
      <c r="N17" s="74">
        <f t="shared" si="4"/>
        <v>5430</v>
      </c>
      <c r="O17" s="75">
        <f>SUM(O9:O16)</f>
        <v>0</v>
      </c>
      <c r="P17" s="75">
        <f>SUM(P9:P16)</f>
        <v>0</v>
      </c>
      <c r="Q17" s="74">
        <f t="shared" si="5"/>
        <v>5430</v>
      </c>
      <c r="R17" s="74">
        <f t="shared" si="6"/>
        <v>6327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>
        <v>752</v>
      </c>
      <c r="E19" s="187"/>
      <c r="F19" s="187"/>
      <c r="G19" s="74">
        <f t="shared" si="2"/>
        <v>752</v>
      </c>
      <c r="H19" s="63"/>
      <c r="I19" s="63"/>
      <c r="J19" s="74">
        <f t="shared" si="3"/>
        <v>752</v>
      </c>
      <c r="K19" s="63">
        <v>64</v>
      </c>
      <c r="L19" s="63">
        <v>30</v>
      </c>
      <c r="M19" s="63"/>
      <c r="N19" s="74">
        <f t="shared" si="4"/>
        <v>94</v>
      </c>
      <c r="O19" s="63"/>
      <c r="P19" s="63"/>
      <c r="Q19" s="74">
        <f t="shared" si="5"/>
        <v>94</v>
      </c>
      <c r="R19" s="74">
        <f t="shared" si="6"/>
        <v>658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8</v>
      </c>
      <c r="E22" s="189">
        <v>6</v>
      </c>
      <c r="F22" s="189"/>
      <c r="G22" s="74">
        <f t="shared" si="2"/>
        <v>14</v>
      </c>
      <c r="H22" s="65"/>
      <c r="I22" s="65"/>
      <c r="J22" s="74">
        <f t="shared" si="3"/>
        <v>14</v>
      </c>
      <c r="K22" s="65">
        <v>5</v>
      </c>
      <c r="L22" s="65">
        <v>3</v>
      </c>
      <c r="M22" s="65"/>
      <c r="N22" s="74">
        <f t="shared" si="4"/>
        <v>8</v>
      </c>
      <c r="O22" s="65"/>
      <c r="P22" s="65"/>
      <c r="Q22" s="74">
        <f t="shared" si="5"/>
        <v>8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</v>
      </c>
      <c r="E25" s="190">
        <f aca="true" t="shared" si="7" ref="E25:P25">SUM(E21:E24)</f>
        <v>6</v>
      </c>
      <c r="F25" s="190">
        <f t="shared" si="7"/>
        <v>0</v>
      </c>
      <c r="G25" s="67">
        <f t="shared" si="2"/>
        <v>14</v>
      </c>
      <c r="H25" s="66">
        <f t="shared" si="7"/>
        <v>0</v>
      </c>
      <c r="I25" s="66">
        <f t="shared" si="7"/>
        <v>0</v>
      </c>
      <c r="J25" s="67">
        <f t="shared" si="3"/>
        <v>14</v>
      </c>
      <c r="K25" s="66">
        <f t="shared" si="7"/>
        <v>5</v>
      </c>
      <c r="L25" s="66">
        <f t="shared" si="7"/>
        <v>3</v>
      </c>
      <c r="M25" s="66">
        <f t="shared" si="7"/>
        <v>0</v>
      </c>
      <c r="N25" s="67">
        <f t="shared" si="4"/>
        <v>8</v>
      </c>
      <c r="O25" s="66">
        <f t="shared" si="7"/>
        <v>0</v>
      </c>
      <c r="P25" s="66">
        <f t="shared" si="7"/>
        <v>0</v>
      </c>
      <c r="Q25" s="67">
        <f t="shared" si="5"/>
        <v>8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12476</v>
      </c>
      <c r="E40" s="438">
        <f>E17+E18+E19+E25+E38+E39</f>
        <v>68</v>
      </c>
      <c r="F40" s="438">
        <f aca="true" t="shared" si="13" ref="F40:R40">F17+F18+F19+F25+F38+F39</f>
        <v>21</v>
      </c>
      <c r="G40" s="438">
        <f t="shared" si="13"/>
        <v>12523</v>
      </c>
      <c r="H40" s="438">
        <f t="shared" si="13"/>
        <v>0</v>
      </c>
      <c r="I40" s="438">
        <f t="shared" si="13"/>
        <v>0</v>
      </c>
      <c r="J40" s="438">
        <f t="shared" si="13"/>
        <v>12523</v>
      </c>
      <c r="K40" s="438">
        <f t="shared" si="13"/>
        <v>5072</v>
      </c>
      <c r="L40" s="438">
        <f t="shared" si="13"/>
        <v>462</v>
      </c>
      <c r="M40" s="438">
        <f t="shared" si="13"/>
        <v>2</v>
      </c>
      <c r="N40" s="438">
        <f t="shared" si="13"/>
        <v>5532</v>
      </c>
      <c r="O40" s="438">
        <f t="shared" si="13"/>
        <v>0</v>
      </c>
      <c r="P40" s="438">
        <f t="shared" si="13"/>
        <v>0</v>
      </c>
      <c r="Q40" s="438">
        <f t="shared" si="13"/>
        <v>5532</v>
      </c>
      <c r="R40" s="438">
        <f t="shared" si="13"/>
        <v>6991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607"/>
      <c r="L44" s="607"/>
      <c r="M44" s="607"/>
      <c r="N44" s="607"/>
      <c r="O44" s="608" t="s">
        <v>780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864</v>
      </c>
      <c r="J45" s="349"/>
      <c r="K45" s="349"/>
      <c r="L45" s="349"/>
      <c r="M45" s="349"/>
      <c r="N45" s="349"/>
      <c r="O45" s="349"/>
      <c r="P45" s="349" t="s">
        <v>865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E57" sqref="E5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ВИНЗАВОД АД</v>
      </c>
      <c r="C3" s="619"/>
      <c r="D3" s="526" t="s">
        <v>2</v>
      </c>
      <c r="E3" s="107">
        <f>'справка №1-БАЛАНС'!H3</f>
        <v>115040215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01.01.2007-31.12.2007 година </v>
      </c>
      <c r="C4" s="617"/>
      <c r="D4" s="527" t="s">
        <v>4</v>
      </c>
      <c r="E4" s="107">
        <f>'справка №1-БАЛАНС'!H4</f>
        <v>175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3542</v>
      </c>
      <c r="D24" s="119">
        <f>SUM(D25:D27)</f>
        <v>3542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3542</v>
      </c>
      <c r="D26" s="108">
        <v>3542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1495</v>
      </c>
      <c r="D28" s="108">
        <v>1495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290</v>
      </c>
      <c r="D29" s="108">
        <v>290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146</v>
      </c>
      <c r="D31" s="108"/>
      <c r="E31" s="120">
        <f t="shared" si="0"/>
        <v>146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18</v>
      </c>
      <c r="D33" s="105">
        <f>SUM(D34:D37)</f>
        <v>8</v>
      </c>
      <c r="E33" s="121">
        <f>SUM(E34:E37)</f>
        <v>10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>
        <v>10</v>
      </c>
      <c r="D36" s="108"/>
      <c r="E36" s="120">
        <f t="shared" si="0"/>
        <v>10</v>
      </c>
      <c r="F36" s="106"/>
    </row>
    <row r="37" spans="1:6" ht="12">
      <c r="A37" s="396" t="s">
        <v>665</v>
      </c>
      <c r="B37" s="397" t="s">
        <v>666</v>
      </c>
      <c r="C37" s="108">
        <v>8</v>
      </c>
      <c r="D37" s="108">
        <v>8</v>
      </c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5494</v>
      </c>
      <c r="D43" s="104">
        <f>D24+D28+D29+D31+D30+D32+D33+D38</f>
        <v>5338</v>
      </c>
      <c r="E43" s="118">
        <f>E24+E28+E29+E31+E30+E32+E33+E38</f>
        <v>156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5494</v>
      </c>
      <c r="D44" s="103">
        <f>D43+D21+D19+D9</f>
        <v>5338</v>
      </c>
      <c r="E44" s="118">
        <f>E43+E21+E19+E9</f>
        <v>156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3203</v>
      </c>
      <c r="D56" s="103">
        <f>D57+D59</f>
        <v>1453</v>
      </c>
      <c r="E56" s="119">
        <f t="shared" si="1"/>
        <v>1750</v>
      </c>
      <c r="F56" s="103">
        <f>F57+F59</f>
        <v>4711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3203</v>
      </c>
      <c r="D57" s="108">
        <v>1453</v>
      </c>
      <c r="E57" s="119">
        <f t="shared" si="1"/>
        <v>1750</v>
      </c>
      <c r="F57" s="108">
        <v>4711</v>
      </c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3203</v>
      </c>
      <c r="D66" s="103">
        <f>D52+D56+D61+D62+D63+D64</f>
        <v>1453</v>
      </c>
      <c r="E66" s="119">
        <f t="shared" si="1"/>
        <v>1750</v>
      </c>
      <c r="F66" s="103">
        <f>F52+F56+F61+F62+F63+F64</f>
        <v>4711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196</v>
      </c>
      <c r="D68" s="108"/>
      <c r="E68" s="119">
        <f t="shared" si="1"/>
        <v>196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949</v>
      </c>
      <c r="D85" s="104">
        <f>SUM(D86:D90)+D94</f>
        <v>949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523</v>
      </c>
      <c r="D87" s="108">
        <v>523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5</v>
      </c>
      <c r="D88" s="108">
        <v>5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73</v>
      </c>
      <c r="D89" s="108">
        <v>73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323</v>
      </c>
      <c r="D90" s="103">
        <f>SUM(D91:D93)</f>
        <v>323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22</v>
      </c>
      <c r="D91" s="108">
        <v>22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275</v>
      </c>
      <c r="D92" s="108">
        <v>275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26</v>
      </c>
      <c r="D93" s="108">
        <v>26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25</v>
      </c>
      <c r="D94" s="108">
        <v>25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35</v>
      </c>
      <c r="D95" s="108">
        <v>35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984</v>
      </c>
      <c r="D96" s="104">
        <f>D85+D80+D75+D71+D95</f>
        <v>984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4383</v>
      </c>
      <c r="D97" s="104">
        <f>D96+D68+D66</f>
        <v>2437</v>
      </c>
      <c r="E97" s="104">
        <f>E96+E68+E66</f>
        <v>1946</v>
      </c>
      <c r="F97" s="104">
        <f>F96+F68+F66</f>
        <v>4711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2" t="s">
        <v>780</v>
      </c>
      <c r="D111" s="612"/>
      <c r="E111" s="612"/>
      <c r="F111" s="612"/>
    </row>
    <row r="112" spans="1:6" ht="12">
      <c r="A112" s="349"/>
      <c r="B112" s="388"/>
      <c r="C112" s="349" t="s">
        <v>868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1" sqref="B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ВИНЗАВОД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115040215</v>
      </c>
    </row>
    <row r="5" spans="1:9" ht="15">
      <c r="A5" s="501" t="s">
        <v>5</v>
      </c>
      <c r="B5" s="621" t="str">
        <f>'справка №1-БАЛАНС'!E5</f>
        <v>01.01.2007-31.12.2007 година 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3"/>
      <c r="C30" s="623"/>
      <c r="D30" s="459" t="s">
        <v>818</v>
      </c>
      <c r="E30" s="622"/>
      <c r="F30" s="622"/>
      <c r="G30" s="622"/>
      <c r="H30" s="420" t="s">
        <v>780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864</v>
      </c>
      <c r="F31" s="523"/>
      <c r="G31" s="523"/>
      <c r="H31" s="523" t="s">
        <v>865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76">
      <selection activeCell="A82" sqref="A8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ВИНЗАВОД АД</v>
      </c>
      <c r="C5" s="627"/>
      <c r="D5" s="627"/>
      <c r="E5" s="570" t="s">
        <v>2</v>
      </c>
      <c r="F5" s="451">
        <f>'справка №1-БАЛАНС'!H3</f>
        <v>115040215</v>
      </c>
    </row>
    <row r="6" spans="1:13" ht="15" customHeight="1">
      <c r="A6" s="27" t="s">
        <v>821</v>
      </c>
      <c r="B6" s="628" t="str">
        <f>'справка №1-БАЛАНС'!E5</f>
        <v>01.01.2007-31.12.2007 година </v>
      </c>
      <c r="C6" s="628"/>
      <c r="D6" s="510"/>
      <c r="E6" s="569" t="s">
        <v>4</v>
      </c>
      <c r="F6" s="511">
        <f>'справка №1-БАЛАНС'!H4</f>
        <v>175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9" t="s">
        <v>818</v>
      </c>
      <c r="D151" s="629"/>
      <c r="E151" s="629"/>
      <c r="F151" s="629"/>
    </row>
    <row r="152" spans="1:6" ht="12.75">
      <c r="A152" s="517"/>
      <c r="B152" s="518"/>
      <c r="C152" s="517" t="s">
        <v>864</v>
      </c>
      <c r="D152" s="517"/>
      <c r="E152" s="517"/>
      <c r="F152" s="517"/>
    </row>
    <row r="153" spans="1:6" ht="12.75">
      <c r="A153" s="517"/>
      <c r="B153" s="518"/>
      <c r="C153" s="629" t="s">
        <v>780</v>
      </c>
      <c r="D153" s="629"/>
      <c r="E153" s="629"/>
      <c r="F153" s="629"/>
    </row>
    <row r="154" spans="3:5" ht="12.75">
      <c r="C154" s="517" t="s">
        <v>865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v.kamenova</cp:lastModifiedBy>
  <cp:lastPrinted>2008-03-19T22:01:06Z</cp:lastPrinted>
  <dcterms:created xsi:type="dcterms:W3CDTF">2000-06-29T12:02:40Z</dcterms:created>
  <dcterms:modified xsi:type="dcterms:W3CDTF">2008-03-19T22:08:02Z</dcterms:modified>
  <cp:category/>
  <cp:version/>
  <cp:contentType/>
  <cp:contentStatus/>
</cp:coreProperties>
</file>