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5480" windowHeight="6420" tabRatio="416" activeTab="3"/>
  </bookViews>
  <sheets>
    <sheet name="Баланс" sheetId="1" r:id="rId1"/>
    <sheet name="ОПР" sheetId="2" r:id="rId2"/>
    <sheet name="ОПП" sheetId="3" r:id="rId3"/>
    <sheet name="Анализ" sheetId="4" r:id="rId4"/>
    <sheet name=" -" sheetId="5" state="hidden" r:id="rId5"/>
  </sheets>
  <externalReferences>
    <externalReference r:id="rId8"/>
  </externalReferences>
  <definedNames>
    <definedName name="A1_Баланс">'Анализ'!$A$1:$E$172</definedName>
    <definedName name="A2_ОПР">'Анализ'!$H$174:$L$262</definedName>
    <definedName name="A3a_ОПП_ПМ">'Анализ'!$N$269:$U$338</definedName>
    <definedName name="A4_ОСК">'Анализ'!$W$340:$AG$376</definedName>
    <definedName name="A5_Средни_наличности">'Анализ'!$AM$442:$AT$492</definedName>
    <definedName name="A6_Доп_информация">'Анализ'!$AM$494:$AS$509</definedName>
    <definedName name="A7_Заглавна_страница">'Анализ'!$AM$512:$AU$553</definedName>
    <definedName name="A8_Стр_2_25">'Анализ'!$AM$555:$AU$1648</definedName>
    <definedName name="A8a_Фирмен_банкрут">'Анализ'!$AM$1654:$AT$1689</definedName>
    <definedName name="A8b_Изводи">'Анализ'!$AM$1695:$AU$1921</definedName>
    <definedName name="A9_Copy_Paste">'Анализ'!$B$3:$AT$510</definedName>
    <definedName name="A99_Таблица_с_имена">'Анализ'!$B$186:$B$212</definedName>
    <definedName name="Copy_Баланс_пп">'Анализ'!$BH$2579:$BH$2713</definedName>
    <definedName name="Copy_Баланс_тп">'Анализ'!$BG$2579:$BG$2713</definedName>
    <definedName name="Copy_ОПР_пп">'Анализ'!$BH$2716:$BH$2784</definedName>
    <definedName name="Copy_ОПР_тп">'Анализ'!$BG$2716:$BG$2784</definedName>
    <definedName name="_xlnm.Print_Area" localSheetId="3">'Анализ'!$AM$512:$AU$553,'Анализ'!$AM$555:$AU$1648,'Анализ'!$AM$1654:$AT$1689,'Анализ'!$AM$1695:$AU$1921</definedName>
    <definedName name="Данни_диаграми">'Анализ'!$AM$1928:$AR$2091</definedName>
    <definedName name="Динамика">'Анализ'!$AM$1327:$AT$1373</definedName>
    <definedName name="Дълга_на_фирмата">'Анализ'!$AM$787:$AU$854</definedName>
    <definedName name="Коефициенти">'Анализ'!$AM$1151:$AU$1325</definedName>
    <definedName name="Кредитен_рейтинг">'Анализ'!$AM$1103:$AU$1149</definedName>
    <definedName name="Ликвидност">'Анализ'!$AM$720:$AU$779</definedName>
    <definedName name="Литература">'Анализ'!$AM$2204:$AU$2238</definedName>
    <definedName name="Оферта">'Анализ'!$EA$3266:$EC$3344</definedName>
    <definedName name="Парични_потоци">'Анализ'!$AM$1424:$AU$1643</definedName>
    <definedName name="Печалба_рентабилност">'Анализ'!$AM$985:$AU$1101</definedName>
    <definedName name="Р_ди_на_100лв_приходи">'Анализ'!$AM$904:$AU$947</definedName>
    <definedName name="Ръководство_за_работа">'Анализ'!$AM$2097:$AU$2198</definedName>
    <definedName name="Собственост_капиталива_структура">'Анализ'!$AM$563:$AU$652</definedName>
    <definedName name="Структура">'Анализ'!$AM$1375:$AU$1422</definedName>
    <definedName name="Финансово_равновесие">'Анализ'!$AM$673:$AU$718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  <author>Георги Мичев</author>
  </authors>
  <commentList>
    <comment ref="B4" authorId="0">
      <text>
        <r>
          <rPr>
            <sz val="8"/>
            <color indexed="34"/>
            <rFont val="Tahoma"/>
            <family val="2"/>
          </rPr>
          <t>Въведете датата в клетка A4</t>
        </r>
      </text>
    </comment>
    <comment ref="D4" authorId="0">
      <text>
        <r>
          <rPr>
            <sz val="8"/>
            <color indexed="34"/>
            <rFont val="Tahoma"/>
            <family val="2"/>
          </rPr>
          <t>Въведете датата в клетка A4</t>
        </r>
      </text>
    </comment>
    <comment ref="D12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2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1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12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2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Ако имате увеличение на запасите, 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Ако имате увеличение на запасите, 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21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1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2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2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5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5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D113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3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2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<sst xmlns="http://schemas.openxmlformats.org/spreadsheetml/2006/main" count="3954" uniqueCount="2456">
  <si>
    <t>Нетен оборотен (работен) капитал</t>
  </si>
  <si>
    <t>пункта    или    с</t>
  </si>
  <si>
    <t>финансо-</t>
  </si>
  <si>
    <t>на  "Дайк"  АД - гр. Пловдив  към</t>
  </si>
  <si>
    <t>Текущи задължения</t>
  </si>
  <si>
    <t>Обща ликвидност</t>
  </si>
  <si>
    <t>Бърза ликвидност</t>
  </si>
  <si>
    <t>Незабавна ликвидност</t>
  </si>
  <si>
    <t>Абсолютна ликвидност</t>
  </si>
  <si>
    <t>Дълга на фирмата</t>
  </si>
  <si>
    <t>Общ размер на дълга</t>
  </si>
  <si>
    <t>Капитал всичко</t>
  </si>
  <si>
    <t>VI</t>
  </si>
  <si>
    <t>Ж</t>
  </si>
  <si>
    <t>VII</t>
  </si>
  <si>
    <t xml:space="preserve"> ЗАГУБА ПРЕДИ ИЗВЪНРЕДНИ СТАТИИ</t>
  </si>
  <si>
    <t xml:space="preserve"> Извънредни статии</t>
  </si>
  <si>
    <t xml:space="preserve">  Този    показател    дава   по-точна   информация  за  реалната</t>
  </si>
  <si>
    <t>този     смисъл    чистата   рентабилност    определя    параметрите    на    управленческите</t>
  </si>
  <si>
    <t>решения.</t>
  </si>
  <si>
    <t xml:space="preserve">     През    анализирания    период    отношението    между    нетния  финансов   резул-</t>
  </si>
  <si>
    <t>Времетраене  на  един  оборот в дни</t>
  </si>
  <si>
    <t>нетния размер на приход. от продажби</t>
  </si>
  <si>
    <t>Брой на оборотите</t>
  </si>
  <si>
    <t>Коеф. на заетост на материалните краткотрайни активи</t>
  </si>
  <si>
    <r>
      <t xml:space="preserve">                GSM:  </t>
    </r>
    <r>
      <rPr>
        <b/>
        <sz val="12"/>
        <rFont val="Arial Cyr"/>
        <family val="2"/>
      </rPr>
      <t>088 72 72 248</t>
    </r>
  </si>
  <si>
    <t>Дълготрайни активи</t>
  </si>
  <si>
    <t>Дългосрочни пасиви</t>
  </si>
  <si>
    <t>Краткотрайни активи</t>
  </si>
  <si>
    <t>Краткосрочни задължения</t>
  </si>
  <si>
    <r>
      <t>Пасиви</t>
    </r>
    <r>
      <rPr>
        <sz val="11"/>
        <rFont val="Arial Cyr"/>
        <family val="2"/>
      </rPr>
      <t xml:space="preserve"> (дългосрочни и краткосрочни)</t>
    </r>
  </si>
  <si>
    <t>Общ капиталов ресурс</t>
  </si>
  <si>
    <t>Дълготрайни материални активи</t>
  </si>
  <si>
    <t>Степен   на   мобилност  (неподвижност)</t>
  </si>
  <si>
    <t>Дял на собствения капитал в общия капи-</t>
  </si>
  <si>
    <t>Дял   на   пасивите   в    общия   капиталов</t>
  </si>
  <si>
    <t>Покриване  на  пасивите  със  собствен</t>
  </si>
  <si>
    <t>Коеф.  на  маневреност  на  собствения</t>
  </si>
  <si>
    <t>Коеф. на покриване на краткосрочни-</t>
  </si>
  <si>
    <t xml:space="preserve">     В т.ч.:  - предоставени аванси</t>
  </si>
  <si>
    <t xml:space="preserve">                 - вземания от персонала</t>
  </si>
  <si>
    <t xml:space="preserve"> Инвестиции в дългосрочни ценни книжа</t>
  </si>
  <si>
    <r>
      <t xml:space="preserve">                     - </t>
    </r>
    <r>
      <rPr>
        <sz val="11"/>
        <color indexed="12"/>
        <rFont val="Arial"/>
        <family val="2"/>
      </rPr>
      <t>държавни ценни книжа</t>
    </r>
  </si>
  <si>
    <r>
      <t xml:space="preserve">                     - </t>
    </r>
    <r>
      <rPr>
        <sz val="11"/>
        <color indexed="12"/>
        <rFont val="Arial"/>
        <family val="2"/>
      </rPr>
      <t>облигации</t>
    </r>
  </si>
  <si>
    <r>
      <t xml:space="preserve">   в  т.ч. в :   - </t>
    </r>
    <r>
      <rPr>
        <sz val="11"/>
        <color indexed="12"/>
        <rFont val="Arial"/>
        <family val="2"/>
      </rPr>
      <t>общински облигации</t>
    </r>
  </si>
  <si>
    <r>
      <t xml:space="preserve">  - </t>
    </r>
    <r>
      <rPr>
        <sz val="11"/>
        <color indexed="12"/>
        <rFont val="Arial"/>
        <family val="2"/>
      </rPr>
      <t>други инвестиции, държани до настъпване на падеж</t>
    </r>
  </si>
  <si>
    <t xml:space="preserve"> Други финасиви активи</t>
  </si>
  <si>
    <t>1-0043</t>
  </si>
  <si>
    <t>1-0030</t>
  </si>
  <si>
    <t xml:space="preserve">                    - деривати</t>
  </si>
  <si>
    <t>1-0094</t>
  </si>
  <si>
    <t>1-0094-1</t>
  </si>
  <si>
    <t xml:space="preserve">   в  т.ч. в :   - дългови ценни книжа</t>
  </si>
  <si>
    <t>Общ размер на дълга                           (1+2)</t>
  </si>
  <si>
    <r>
      <t xml:space="preserve">Коеф. на дълга към собствения </t>
    </r>
    <r>
      <rPr>
        <sz val="10"/>
        <rFont val="Arial Cyr"/>
        <family val="0"/>
      </rPr>
      <t>капитал(3/5)</t>
    </r>
  </si>
  <si>
    <t xml:space="preserve">     В   практиката    на    страните    с    пазарна   икономика    е    известен   показателят </t>
  </si>
  <si>
    <t>може да бъде поставена и  пазарната стойност на дълга.</t>
  </si>
  <si>
    <t>Разходи за външни услуги</t>
  </si>
  <si>
    <t>Други разходи</t>
  </si>
  <si>
    <t>Материали</t>
  </si>
  <si>
    <t xml:space="preserve"> или 9/30/99,  съответно 12/31/2001, в зависимост от настройката на</t>
  </si>
  <si>
    <t xml:space="preserve"> на Excel, с който работите.</t>
  </si>
  <si>
    <t>4.</t>
  </si>
  <si>
    <t xml:space="preserve"> От менюто натиснете върху "А2_ОПР" и попълнете сините клетки.</t>
  </si>
  <si>
    <t>5.</t>
  </si>
  <si>
    <t xml:space="preserve"> Малцинствено участие</t>
  </si>
  <si>
    <t xml:space="preserve"> Краткосрочни вземания</t>
  </si>
  <si>
    <t xml:space="preserve"> Вземания от свързани предприятия</t>
  </si>
  <si>
    <t xml:space="preserve"> Отчет за паричните потоци</t>
  </si>
  <si>
    <r>
      <t xml:space="preserve"> Отчет за собствения капитал</t>
    </r>
    <r>
      <rPr>
        <sz val="11"/>
        <color indexed="10"/>
        <rFont val="Arial Cyr"/>
        <family val="2"/>
      </rPr>
      <t xml:space="preserve"> (Попълва само ако желаете да го разпечатвате на</t>
    </r>
  </si>
  <si>
    <t xml:space="preserve"> български или друг език. Не влияе  на анализа).</t>
  </si>
  <si>
    <t xml:space="preserve"> Таблици, съобразени с НСС</t>
  </si>
  <si>
    <t xml:space="preserve"> Текстови коментар</t>
  </si>
  <si>
    <t>Програмата има собствено меню в Name Box. Показва се като щракнете върху</t>
  </si>
  <si>
    <t>тат и   общата  сума  на   активите   е</t>
  </si>
  <si>
    <t>срещу</t>
  </si>
  <si>
    <t>фин. резултат от предх. периоди</t>
  </si>
  <si>
    <t>фин. резултат от текущия период</t>
  </si>
  <si>
    <r>
      <t xml:space="preserve">Като   </t>
    </r>
    <r>
      <rPr>
        <b/>
        <sz val="11"/>
        <rFont val="Arial Cyr"/>
        <family val="2"/>
      </rPr>
      <t>структура   собственият   капитал</t>
    </r>
    <r>
      <rPr>
        <sz val="11"/>
        <rFont val="Arial Cyr"/>
        <family val="2"/>
      </rPr>
      <t xml:space="preserve">   се  разпределя  на:</t>
    </r>
  </si>
  <si>
    <t xml:space="preserve">Финансов  резултат </t>
  </si>
  <si>
    <r>
      <t xml:space="preserve">       </t>
    </r>
    <r>
      <rPr>
        <b/>
        <u val="single"/>
        <sz val="11"/>
        <rFont val="Arial Cyr"/>
        <family val="2"/>
      </rPr>
      <t>Пасивите</t>
    </r>
    <r>
      <rPr>
        <sz val="11"/>
        <rFont val="Arial Cyr"/>
        <family val="2"/>
      </rPr>
      <t xml:space="preserve">   възлизат    на</t>
    </r>
  </si>
  <si>
    <t>хил.лева  и  са  с</t>
  </si>
  <si>
    <t>хил. лева</t>
  </si>
  <si>
    <t>предходната  година.</t>
  </si>
  <si>
    <r>
      <t xml:space="preserve">Като  </t>
    </r>
    <r>
      <rPr>
        <b/>
        <sz val="11"/>
        <rFont val="Arial Cyr"/>
        <family val="2"/>
      </rPr>
      <t xml:space="preserve">структура  пасивите </t>
    </r>
    <r>
      <rPr>
        <sz val="11"/>
        <rFont val="Arial Cyr"/>
        <family val="2"/>
      </rPr>
      <t xml:space="preserve"> се  разпределят  на:</t>
    </r>
  </si>
  <si>
    <t>хил.лв.:</t>
  </si>
  <si>
    <t xml:space="preserve">Дългосрочни  </t>
  </si>
  <si>
    <t xml:space="preserve">Краткосрочни  </t>
  </si>
  <si>
    <t xml:space="preserve">     Един  лев   от  пасивите  се  покрива    с</t>
  </si>
  <si>
    <t xml:space="preserve"> ПЕЧАЛБА ПРЕДИ ИЗВЪНРЕДНИ СТАТИИ</t>
  </si>
  <si>
    <r>
      <t xml:space="preserve">                 - </t>
    </r>
    <r>
      <rPr>
        <sz val="11"/>
        <color indexed="12"/>
        <rFont val="Arial"/>
        <family val="2"/>
      </rPr>
      <t>провизии</t>
    </r>
  </si>
  <si>
    <r>
      <t xml:space="preserve">                 - </t>
    </r>
    <r>
      <rPr>
        <sz val="11"/>
        <color indexed="12"/>
        <rFont val="Arial"/>
        <family val="2"/>
      </rPr>
      <t>други</t>
    </r>
  </si>
  <si>
    <t xml:space="preserve"> Р-ди за придобиване и ликвидация на ДА по стопански начин</t>
  </si>
  <si>
    <t>файл, защото няма гаранция, че за следващия период това ще е необходимо.</t>
  </si>
  <si>
    <t>Можете да нулирате данните от баланса и на другите форми по следния начин:</t>
  </si>
  <si>
    <t xml:space="preserve">   в т. ч.  от правителството</t>
  </si>
  <si>
    <t xml:space="preserve"> III. Финансови приходи</t>
  </si>
  <si>
    <t xml:space="preserve"> 1. Приходи от лихви</t>
  </si>
  <si>
    <t xml:space="preserve">   в т. ч.  от свързани предприятия</t>
  </si>
  <si>
    <t xml:space="preserve"> 2. Приходи от участия</t>
  </si>
  <si>
    <t>Анализ на разходите на 100 лв. приходи  в</t>
  </si>
  <si>
    <t xml:space="preserve"> А. Разходи за обичайната дейност</t>
  </si>
  <si>
    <t>Разходи по икономически елементи</t>
  </si>
  <si>
    <t>Общо разходи за дейността:</t>
  </si>
  <si>
    <t>Общо разходи:</t>
  </si>
  <si>
    <t xml:space="preserve"> Б. Приходи от обичайната дейност</t>
  </si>
  <si>
    <t>Общо приходи за дейността:</t>
  </si>
  <si>
    <t>Общо приходии:</t>
  </si>
  <si>
    <t>Разходи за 100 лв. приходи</t>
  </si>
  <si>
    <t>Разходи  за  100 лв.  приходи   в</t>
  </si>
  <si>
    <t>са</t>
  </si>
  <si>
    <t>лева, което е оказало</t>
  </si>
  <si>
    <t>влияние    върху</t>
  </si>
  <si>
    <t>върху рентабилността.</t>
  </si>
  <si>
    <t>Факторите оказали влияние върху този резултат са:</t>
  </si>
  <si>
    <t>общия размер да разходите</t>
  </si>
  <si>
    <t>а)</t>
  </si>
  <si>
    <t>разходите за дейността</t>
  </si>
  <si>
    <t>-</t>
  </si>
  <si>
    <t>разходите по икономически елементи</t>
  </si>
  <si>
    <t>сумите с корективен характер</t>
  </si>
  <si>
    <t>финансовите разходи</t>
  </si>
  <si>
    <t>б)</t>
  </si>
  <si>
    <t>извънредните разходи</t>
  </si>
  <si>
    <t>в)</t>
  </si>
  <si>
    <t>разходите за данъци</t>
  </si>
  <si>
    <t>общия размер на приходите</t>
  </si>
  <si>
    <t>приходите за дейността</t>
  </si>
  <si>
    <t>нетните приходи от продажби</t>
  </si>
  <si>
    <t>приходите от финансирания</t>
  </si>
  <si>
    <t>финансовите приходи</t>
  </si>
  <si>
    <t>извънредните приходи</t>
  </si>
  <si>
    <t>Разходите    на    всеки   100  лв.    приходи</t>
  </si>
  <si>
    <t xml:space="preserve"> Анализ на разходите на 100 лв. приходи</t>
  </si>
  <si>
    <t>37-40</t>
  </si>
  <si>
    <t>41-42</t>
  </si>
  <si>
    <t>43-44</t>
  </si>
  <si>
    <t>45-56</t>
  </si>
  <si>
    <t>Отчетен период:</t>
  </si>
  <si>
    <t xml:space="preserve">Вид на отчета: консолидиран /неконсолидиран </t>
  </si>
  <si>
    <t>през  предходната  година.</t>
  </si>
  <si>
    <t xml:space="preserve">Анализът  на този показател показва 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</si>
  <si>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</si>
  <si>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</si>
  <si>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</si>
  <si>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</si>
  <si>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</si>
  <si>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</si>
  <si>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</si>
  <si>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</si>
  <si>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</si>
  <si>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</si>
  <si>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</si>
  <si>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</si>
  <si>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</si>
  <si>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</si>
  <si>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</si>
  <si>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дъщерни предприятия</t>
  </si>
  <si>
    <t>смесени предприятия</t>
  </si>
  <si>
    <t xml:space="preserve">     Ако  от    краткотрайните    активи   приспаднем   краткосрочните    задължения  ще</t>
  </si>
  <si>
    <t>"ДАЙК"  АД - гр. ПЛОВДИВ</t>
  </si>
  <si>
    <t xml:space="preserve"> Финансови приходи</t>
  </si>
  <si>
    <t xml:space="preserve"> Приходи от лихви</t>
  </si>
  <si>
    <t xml:space="preserve"> Приходи от участия</t>
  </si>
  <si>
    <t xml:space="preserve"> Положителни разлики от промяна на валутни курсове</t>
  </si>
  <si>
    <t xml:space="preserve"> Други приходи от финансови операции</t>
  </si>
  <si>
    <t xml:space="preserve"> ОБЩО ПРИХОДИ ОТ ДЕЙНОСТТА (I + II + III)</t>
  </si>
  <si>
    <t xml:space="preserve"> ЗАГУБА ОТ ОБИЧАЙНАТА ДЕЙНОСТ</t>
  </si>
  <si>
    <t xml:space="preserve"> Извънредни приходи</t>
  </si>
  <si>
    <t xml:space="preserve"> Парични средства и еквиваленти</t>
  </si>
  <si>
    <t>Задължения на фирмата</t>
  </si>
  <si>
    <t>Доставчици</t>
  </si>
  <si>
    <t>Бюджет и осигуряване</t>
  </si>
  <si>
    <t>Заеми</t>
  </si>
  <si>
    <t>н а   р  а  з  х  о  д  и  т  е</t>
  </si>
  <si>
    <t xml:space="preserve"> Биологични активи и други</t>
  </si>
  <si>
    <t xml:space="preserve">Малцинствено участие </t>
  </si>
  <si>
    <t>Нетна печалба за периоода</t>
  </si>
  <si>
    <t>хил. лв.  или   с</t>
  </si>
  <si>
    <t>хил. лв.</t>
  </si>
  <si>
    <t xml:space="preserve"> в   сравнение  с  базисния  период,  което</t>
  </si>
  <si>
    <t>представлява</t>
  </si>
  <si>
    <t>хил. лв.,   което</t>
  </si>
  <si>
    <t>е  с</t>
  </si>
  <si>
    <t xml:space="preserve">  от   базисния    период     или</t>
  </si>
  <si>
    <t>Дял на собствените ресурси       (1-ца -16)</t>
  </si>
  <si>
    <t>Коеф. на дългосрочния дълг към собстве-</t>
  </si>
  <si>
    <t>ния капитал                                          (10/5)</t>
  </si>
  <si>
    <t>Покритие на дългосрочните задължения</t>
  </si>
  <si>
    <t xml:space="preserve"> ОБЩО РАЗХОДИ (Б + IV +V)</t>
  </si>
  <si>
    <r>
      <t xml:space="preserve"> ПЕЧАЛБА </t>
    </r>
    <r>
      <rPr>
        <sz val="11"/>
        <rFont val="Arial"/>
        <family val="2"/>
      </rPr>
      <t>след данъчно облагане</t>
    </r>
    <r>
      <rPr>
        <sz val="10"/>
        <rFont val="Arial"/>
        <family val="0"/>
      </rPr>
      <t xml:space="preserve"> (Д - VI)</t>
    </r>
  </si>
  <si>
    <t>VIII</t>
  </si>
  <si>
    <t xml:space="preserve">Всичко (Г + VI + VII + VIII + И)  </t>
  </si>
  <si>
    <t xml:space="preserve"> ОБЩО ПРИХОДИ (Б + IV +V)</t>
  </si>
  <si>
    <t xml:space="preserve">Всичко (Г + VI + VII + И)  </t>
  </si>
  <si>
    <t xml:space="preserve"> и доставчици по тяхната отчетна стойност</t>
  </si>
  <si>
    <t>Рентабилност:</t>
  </si>
  <si>
    <t>Коеф. на рентабилност на приходите</t>
  </si>
  <si>
    <t>от продажби (1/2)</t>
  </si>
  <si>
    <t>Други разходи за обичайната дейност</t>
  </si>
  <si>
    <t>Коеф. на рентабилност на собствения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</si>
  <si>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</si>
  <si>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</si>
  <si>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</si>
  <si>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</si>
  <si>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</si>
  <si>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</si>
  <si>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</si>
  <si>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</si>
  <si>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</si>
  <si>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</si>
  <si>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</si>
  <si>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</si>
  <si>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</si>
  <si>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</si>
  <si>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</si>
  <si>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</si>
  <si>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>1-0410</t>
  </si>
  <si>
    <t xml:space="preserve">8. Други </t>
  </si>
  <si>
    <t>II. Резерви</t>
  </si>
  <si>
    <t>Общо за група I:</t>
  </si>
  <si>
    <t xml:space="preserve">     През   базисния   период     това    отношение     е</t>
  </si>
  <si>
    <t>, докато      през</t>
  </si>
  <si>
    <t>или  с</t>
  </si>
  <si>
    <t>поема  фирмата.  Счита  се,  че  като  правило  той  не  трябва  да  надвишава  0.3.</t>
  </si>
  <si>
    <t xml:space="preserve">     През   базисния   период   това   съотношение   е</t>
  </si>
  <si>
    <t>анализирания      период      то      е</t>
  </si>
  <si>
    <t>Чужд капитал                                         (4-5)</t>
  </si>
  <si>
    <t xml:space="preserve">                    - други</t>
  </si>
  <si>
    <t>с имущество                                      (14/10)</t>
  </si>
  <si>
    <t>несъстоятелността  все  още  не  е  край на съществуването на фирмата, въпреки</t>
  </si>
  <si>
    <t xml:space="preserve">възможността </t>
  </si>
  <si>
    <t>да  изпадане  в  неплатежоспо-</t>
  </si>
  <si>
    <t>собност в краткосрочен план.</t>
  </si>
  <si>
    <t xml:space="preserve">N: </t>
  </si>
  <si>
    <t>На собствения капитал</t>
  </si>
  <si>
    <t>На пасивите</t>
  </si>
  <si>
    <t>На общия капиталов ресурс</t>
  </si>
  <si>
    <t>За материали</t>
  </si>
  <si>
    <t>Външни услуги</t>
  </si>
  <si>
    <t>Заплати и осигур.</t>
  </si>
  <si>
    <t>Незав. производство</t>
  </si>
  <si>
    <t>От дейността</t>
  </si>
  <si>
    <t>Счетоводна печалба</t>
  </si>
  <si>
    <t>Балансова печалба</t>
  </si>
  <si>
    <t>Рентабилност</t>
  </si>
  <si>
    <r>
      <t>след   облагане   с    данъци    и   нетния   размер   на    приходите    от    продажби   (</t>
    </r>
    <r>
      <rPr>
        <b/>
        <u val="single"/>
        <sz val="11"/>
        <rFont val="Arial Cyr"/>
        <family val="2"/>
      </rPr>
      <t>чиста</t>
    </r>
  </si>
  <si>
    <t>през  базисния  период,  или  с</t>
  </si>
  <si>
    <t>И</t>
  </si>
  <si>
    <t xml:space="preserve"> Дългосрочни задължения</t>
  </si>
  <si>
    <t xml:space="preserve"> Задължения към свързани предприятия</t>
  </si>
  <si>
    <t xml:space="preserve"> Задължения към финансови предприятия</t>
  </si>
  <si>
    <t xml:space="preserve"> Задължения по търговски заеми</t>
  </si>
  <si>
    <t xml:space="preserve"> Задължения по облигационни заеми</t>
  </si>
  <si>
    <t xml:space="preserve"> Други дългосрочни задължения</t>
  </si>
  <si>
    <t xml:space="preserve"> Приходи за бъдещи периоди и финансирания</t>
  </si>
  <si>
    <t>В</t>
  </si>
  <si>
    <t xml:space="preserve"> Краткосрочни задължения</t>
  </si>
  <si>
    <t xml:space="preserve"> Задължения към доставчици и клиенти</t>
  </si>
  <si>
    <t xml:space="preserve"> Задължения към персонала</t>
  </si>
  <si>
    <t xml:space="preserve"> Задължения към осигурителни предприятия</t>
  </si>
  <si>
    <t xml:space="preserve"> Данъчни задължения</t>
  </si>
  <si>
    <t xml:space="preserve"> Провизии</t>
  </si>
  <si>
    <t xml:space="preserve"> Получени аванси</t>
  </si>
  <si>
    <t>Д</t>
  </si>
  <si>
    <t xml:space="preserve"> УСЛОВНИ ПАСИВИ</t>
  </si>
  <si>
    <t>Коеф. на рентабилност на собствения капитал</t>
  </si>
  <si>
    <t>собствения капитал</t>
  </si>
  <si>
    <t>Коеф. на рентабилност на пасивите</t>
  </si>
  <si>
    <t>пасивите</t>
  </si>
  <si>
    <t>Коеф. на капитализация на активите</t>
  </si>
  <si>
    <t>Коеф. на ефективност на разходите</t>
  </si>
  <si>
    <t>разходите</t>
  </si>
  <si>
    <t>приходите</t>
  </si>
  <si>
    <t>Коеф. на ефективност на приходите</t>
  </si>
  <si>
    <t>Коеф. на обща ликвидност</t>
  </si>
  <si>
    <t>наличните краткотрайни активи</t>
  </si>
  <si>
    <t>Коеф. на бърза ликвидност</t>
  </si>
  <si>
    <t>Коеф. на незабавна ликвидност</t>
  </si>
  <si>
    <t>текущите задължения</t>
  </si>
  <si>
    <t>Коеф. на абсолютна ликвидност</t>
  </si>
  <si>
    <t>Коеф. на финансова автономност</t>
  </si>
  <si>
    <t>Код</t>
  </si>
  <si>
    <t>реда</t>
  </si>
  <si>
    <t>в</t>
  </si>
  <si>
    <t>1-0011</t>
  </si>
  <si>
    <t>1-0012</t>
  </si>
  <si>
    <t>1-0013</t>
  </si>
  <si>
    <t>1-0014</t>
  </si>
  <si>
    <t>1-0015</t>
  </si>
  <si>
    <t xml:space="preserve"> Стопански инвентар</t>
  </si>
  <si>
    <t>1-0017-1</t>
  </si>
  <si>
    <t>1-0017</t>
  </si>
  <si>
    <t>1-0018</t>
  </si>
  <si>
    <t>1-0021</t>
  </si>
  <si>
    <t>1-0022</t>
  </si>
  <si>
    <t>1-0023</t>
  </si>
  <si>
    <t>1-0024</t>
  </si>
  <si>
    <t>1- 0010</t>
  </si>
  <si>
    <t>1- 0020</t>
  </si>
  <si>
    <t>1-0051</t>
  </si>
  <si>
    <t>1-0052</t>
  </si>
  <si>
    <t>1- 0050</t>
  </si>
  <si>
    <t>1-0032</t>
  </si>
  <si>
    <t>1-0033</t>
  </si>
  <si>
    <t>1-0034</t>
  </si>
  <si>
    <t>1-0035</t>
  </si>
  <si>
    <t>1-0031</t>
  </si>
  <si>
    <t>"В И Н З А В О Д"  А Д - гр. АСЕНОВГРАД</t>
  </si>
  <si>
    <t>на  "ВИНЗАВОД"  АД - гр. Асеновград  към</t>
  </si>
  <si>
    <t>Програмата е разработена от фирма "Дайк" - тел.: (032) 25 30 60; GSM: 088 72 72 248;  ICQ: 338172185                                           E-mail: michev@evrocom.net   Web: www.daik.dir.bg</t>
  </si>
  <si>
    <t>Кен Лангдън и Алън Бонъм, За бизнес финансите, Издателство "Фокус", 2001г.</t>
  </si>
  <si>
    <t>Национални счетоводни стандарти, ИК "Труд и право", София 2002г.</t>
  </si>
  <si>
    <t>Национални счетоводни стандарти, ИК "Коман", София 2002г.</t>
  </si>
  <si>
    <t xml:space="preserve">     Тава   съотношение    е    известно    още   като   задлъжнялост   (обремененост)   на</t>
  </si>
  <si>
    <t>дълга.   Колкото     е     по-висок  гирингът,  толкова   е    по-голям   финансовият   риск,  който</t>
  </si>
  <si>
    <t xml:space="preserve">     Дългосрочните   изходящи   парични   потоци    са</t>
  </si>
  <si>
    <t>към   дългосрочните</t>
  </si>
  <si>
    <t>входящи   парични   потоци.  Това   съотношение   показва,  че   дългосрочните  инвестиции</t>
  </si>
  <si>
    <t>се  финансират</t>
  </si>
  <si>
    <t xml:space="preserve"> Краткосрочните    изходящи   парични    потоци    са</t>
  </si>
  <si>
    <t>към краткосрочните</t>
  </si>
  <si>
    <t>входящи  парични   потоци.  Това   съотношение    показва, че  краткосрочното използване</t>
  </si>
  <si>
    <t>капитал (1/3)</t>
  </si>
  <si>
    <t>Коеф. на рентабилност на пасивите (1/4)</t>
  </si>
  <si>
    <t>Ефективност:</t>
  </si>
  <si>
    <t>Трифон Трифонов, Венелина и Силвия Трифонови, Корпоративни финанси,</t>
  </si>
  <si>
    <t>"Тракия - М", София 1999г.</t>
  </si>
  <si>
    <t>е  по-висок  доходът   от   една   акция.   Ето   защо   собствениците   на   акции   подкрепят</t>
  </si>
  <si>
    <t>поддържането на високо  отношение между заемния и собствен капитал.</t>
  </si>
  <si>
    <t>потенциала на фирмата и да се вземат решения  за  целесъобразността  от</t>
  </si>
  <si>
    <t>задълженията   на   фирмата.   Може    да    се    счита,  че   това е симптоматично</t>
  </si>
  <si>
    <t>за</t>
  </si>
  <si>
    <t xml:space="preserve"> В. ПАРИЧНИ ПОТОЦИ ОТ ФИНАНСОВА ДЕЙНОСТ</t>
  </si>
  <si>
    <r>
      <t xml:space="preserve"> ходите - като </t>
    </r>
    <r>
      <rPr>
        <sz val="11"/>
        <rFont val="Arial"/>
        <family val="2"/>
      </rPr>
      <t>компенсиран</t>
    </r>
    <r>
      <rPr>
        <sz val="10"/>
        <rFont val="Arial"/>
        <family val="2"/>
      </rPr>
      <t xml:space="preserve"> финансов резултат от финанс. дейност</t>
    </r>
  </si>
  <si>
    <t>Коеф. на задлъжнялост</t>
  </si>
  <si>
    <t>Възвращаемост на активите          (6/2)</t>
  </si>
  <si>
    <t>Парични средства в %                   (4/10)</t>
  </si>
  <si>
    <t>Парични средства в %                    (4/9)</t>
  </si>
  <si>
    <t>Краткотрайни материални активи</t>
  </si>
  <si>
    <t>Краткосрочни вземания</t>
  </si>
  <si>
    <t>Краткосрочни инвестиции</t>
  </si>
  <si>
    <t>пари, а  като  изменение,  движение  на паричните  средства  и  паричните  еквиваленти   на</t>
  </si>
  <si>
    <t>фирмата е осигурила от дейността си</t>
  </si>
  <si>
    <t>ване към  възвръщаемостта на собствения  капитал. Това  е така, защото през този  период</t>
  </si>
  <si>
    <t>принос  на  финансовото  усил-</t>
  </si>
  <si>
    <t xml:space="preserve">      Коефициентът сложен фактор на усилване през  анализирания  период  е</t>
  </si>
  <si>
    <t>извънредни статии</t>
  </si>
  <si>
    <t>малцинствено участие</t>
  </si>
  <si>
    <t>Зависи от капиталовата структура на фирмата</t>
  </si>
  <si>
    <t>финансовата задлъжнялост на фирмата</t>
  </si>
  <si>
    <t>1-0020</t>
  </si>
  <si>
    <t>1. Натрупана печалба  (загуба) в т.ч.:</t>
  </si>
  <si>
    <t>неразпределена печалба</t>
  </si>
  <si>
    <t xml:space="preserve">Име на отчитащото се предприятие: </t>
  </si>
  <si>
    <t xml:space="preserve">Вид на отчета: консолидиран /неконсолидиран: </t>
  </si>
  <si>
    <t>РГ-05-</t>
  </si>
  <si>
    <t>Оферта на Дайк - Пловдив</t>
  </si>
  <si>
    <t>Разходи на 100 лв. приходи</t>
  </si>
  <si>
    <t>лихвената обремененост на фирмата</t>
  </si>
  <si>
    <t>Не зависи от капиталовата структура на фирмата</t>
  </si>
  <si>
    <t>данъчната политика</t>
  </si>
  <si>
    <t>ефективното   използване   на   активите</t>
  </si>
  <si>
    <t>Не зависи от финансовото усилване (задлъжнялостта)</t>
  </si>
  <si>
    <t>оперативната печалаба на всеки лев продажби</t>
  </si>
  <si>
    <t>В т.ч. от:</t>
  </si>
  <si>
    <t>базисния  период  този  показател  е</t>
  </si>
  <si>
    <r>
      <t>капитал</t>
    </r>
    <r>
      <rPr>
        <sz val="11"/>
        <rFont val="Arial"/>
        <family val="2"/>
      </rPr>
      <t xml:space="preserve">  (нетна  печалба  на  1 лв. собствен  капитал)  </t>
    </r>
    <r>
      <rPr>
        <b/>
        <sz val="11"/>
        <rFont val="Arial"/>
        <family val="2"/>
      </rPr>
      <t xml:space="preserve">  </t>
    </r>
    <r>
      <rPr>
        <sz val="11"/>
        <rFont val="Arial"/>
        <family val="0"/>
      </rPr>
      <t xml:space="preserve"> е</t>
    </r>
  </si>
  <si>
    <r>
      <t xml:space="preserve">      През  анализирания  период  коефициента  за  </t>
    </r>
    <r>
      <rPr>
        <b/>
        <sz val="11"/>
        <rFont val="Arial"/>
        <family val="2"/>
      </rPr>
      <t>възвръщаемостта  на  собствения</t>
    </r>
  </si>
  <si>
    <t>Коефициент на:</t>
  </si>
  <si>
    <r>
      <t>Нетни приходи от продажби  (</t>
    </r>
    <r>
      <rPr>
        <b/>
        <sz val="11"/>
        <rFont val="Arial Cyr"/>
        <family val="0"/>
      </rPr>
      <t>ROS</t>
    </r>
    <r>
      <rPr>
        <sz val="11"/>
        <rFont val="Arial Cyr"/>
        <family val="2"/>
      </rPr>
      <t>)</t>
    </r>
  </si>
  <si>
    <r>
      <t>Сума на активите (</t>
    </r>
    <r>
      <rPr>
        <b/>
        <sz val="11"/>
        <rFont val="Arial Cyr"/>
        <family val="0"/>
      </rPr>
      <t>ATO</t>
    </r>
    <r>
      <rPr>
        <sz val="11"/>
        <rFont val="Arial Cyr"/>
        <family val="2"/>
      </rPr>
      <t>)</t>
    </r>
  </si>
  <si>
    <t>Продукция</t>
  </si>
  <si>
    <t>Стоки</t>
  </si>
  <si>
    <t>Структура на дълготрайните активи</t>
  </si>
  <si>
    <t xml:space="preserve">Д  ъ  л  г  о  т  р  а  й  н  и </t>
  </si>
  <si>
    <t>а  к  т  и  в  и</t>
  </si>
  <si>
    <t>Материални</t>
  </si>
  <si>
    <t>Нематериални</t>
  </si>
  <si>
    <t xml:space="preserve"> 8. Провизии</t>
  </si>
  <si>
    <t xml:space="preserve"> 9. Получени аванси</t>
  </si>
  <si>
    <t xml:space="preserve"> 10. Други краткосрочни задължения</t>
  </si>
  <si>
    <t>Допълнителна информация:</t>
  </si>
  <si>
    <t>Мярка:</t>
  </si>
  <si>
    <t xml:space="preserve"> I. Разходи по икономически елементи</t>
  </si>
  <si>
    <t xml:space="preserve"> 1. Разходи за материали</t>
  </si>
  <si>
    <t xml:space="preserve"> 2. Разходи за външни услуги</t>
  </si>
  <si>
    <t xml:space="preserve"> 3. Разходи за амортизации</t>
  </si>
  <si>
    <r>
      <t>метод</t>
    </r>
    <r>
      <rPr>
        <sz val="11"/>
        <rFont val="Arial Cyr"/>
        <family val="2"/>
      </rPr>
      <t>, т.е. на база на счетоводните сметки за паричните средства и техните еквиваленти:</t>
    </r>
  </si>
  <si>
    <t xml:space="preserve">     Постъпленията от  парични  средства  за  текущата  година  възлизат  на </t>
  </si>
  <si>
    <t>хил. лева, от които:</t>
  </si>
  <si>
    <t xml:space="preserve"> от  инвестиционна  дейност  и</t>
  </si>
  <si>
    <t xml:space="preserve"> от  финансова  дейност.</t>
  </si>
  <si>
    <t xml:space="preserve">     Плащанията   за   текущата   година   възлизат   на </t>
  </si>
  <si>
    <t>хил.лв. , от които:</t>
  </si>
  <si>
    <t xml:space="preserve"> за  инвестиционна  дейност  и</t>
  </si>
  <si>
    <t>Малцинствено участие</t>
  </si>
  <si>
    <t>Изкупени собствени акции</t>
  </si>
  <si>
    <t>1-0617</t>
  </si>
  <si>
    <t>1-0619</t>
  </si>
  <si>
    <t xml:space="preserve"> Текуща част от нетекущи задължения и други</t>
  </si>
  <si>
    <t>1- 0610</t>
  </si>
  <si>
    <t xml:space="preserve">Общо за раздел Г : </t>
  </si>
  <si>
    <t>1- 0750</t>
  </si>
  <si>
    <t>1- 0800</t>
  </si>
  <si>
    <t>2-1120</t>
  </si>
  <si>
    <t>2-1130</t>
  </si>
  <si>
    <t>2-1160</t>
  </si>
  <si>
    <t>2-1140</t>
  </si>
  <si>
    <t>2-1150</t>
  </si>
  <si>
    <t xml:space="preserve"> Изменение на запасите от продукция и незавършено производство</t>
  </si>
  <si>
    <t>2-1010</t>
  </si>
  <si>
    <t>2-1030</t>
  </si>
  <si>
    <t>2-1170</t>
  </si>
  <si>
    <t>2-1171</t>
  </si>
  <si>
    <t>2-1172</t>
  </si>
  <si>
    <t>2-1173</t>
  </si>
  <si>
    <t>2-1100</t>
  </si>
  <si>
    <t>2-1200</t>
  </si>
  <si>
    <t>2-1210</t>
  </si>
  <si>
    <r>
      <t xml:space="preserve"> Отрицателни разлики от операции с </t>
    </r>
    <r>
      <rPr>
        <sz val="9"/>
        <color indexed="12"/>
        <rFont val="Arial"/>
        <family val="2"/>
      </rPr>
      <t>финансови активи и инструменти</t>
    </r>
  </si>
  <si>
    <t>2-1220</t>
  </si>
  <si>
    <t>2-1230</t>
  </si>
  <si>
    <t>2-1240</t>
  </si>
  <si>
    <t>2-1300</t>
  </si>
  <si>
    <t>2-1290</t>
  </si>
  <si>
    <t>2-1310</t>
  </si>
  <si>
    <t>2-1250</t>
  </si>
  <si>
    <t>2-1350</t>
  </si>
  <si>
    <t>2-1400</t>
  </si>
  <si>
    <t>2-1450</t>
  </si>
  <si>
    <t>2-1451/52</t>
  </si>
  <si>
    <t>2-1453</t>
  </si>
  <si>
    <t>2-0454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</si>
  <si>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</si>
  <si>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</si>
  <si>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</si>
  <si>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</si>
  <si>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</si>
  <si>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</si>
  <si>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</si>
  <si>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</si>
  <si>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</si>
  <si>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</si>
  <si>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</si>
  <si>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</si>
  <si>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</si>
  <si>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</si>
  <si>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</si>
  <si>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</si>
  <si>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</si>
  <si>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</si>
  <si>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</si>
  <si>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А. НЕТЕКУЩИ АКТИВИ </t>
  </si>
  <si>
    <t>А. СОБСТВЕН КАПИТАЛ</t>
  </si>
  <si>
    <t>1-0611</t>
  </si>
  <si>
    <t>1-0614</t>
  </si>
  <si>
    <t>1-0613</t>
  </si>
  <si>
    <t>1-0613-1</t>
  </si>
  <si>
    <t>1-0615</t>
  </si>
  <si>
    <t>1-0616</t>
  </si>
  <si>
    <t xml:space="preserve">Отсрочени данъци </t>
  </si>
  <si>
    <r>
      <t xml:space="preserve">     </t>
    </r>
    <r>
      <rPr>
        <b/>
        <u val="single"/>
        <sz val="11"/>
        <rFont val="Arial Cyr"/>
        <family val="2"/>
      </rPr>
      <t>Рентабилността</t>
    </r>
    <r>
      <rPr>
        <sz val="11"/>
        <rFont val="Arial Cyr"/>
        <family val="2"/>
      </rPr>
      <t xml:space="preserve">   (доходността)   е   един   от  най-важните  параметри  на  финан-</t>
    </r>
  </si>
  <si>
    <t>совото   състояние  на   фирмите.  Тя   отразява   потенциала  на   фирмата  да  генерира   и</t>
  </si>
  <si>
    <t>пасиви (привлечен  капитал).  В  сравнение   с   базисния  период</t>
  </si>
  <si>
    <t>капиталът     е</t>
  </si>
  <si>
    <t>х.лв.,  което   се  равнява   на</t>
  </si>
  <si>
    <r>
      <t xml:space="preserve">     </t>
    </r>
    <r>
      <rPr>
        <b/>
        <u val="single"/>
        <sz val="11"/>
        <rFont val="Arial Cyr"/>
        <family val="2"/>
      </rPr>
      <t>Собственият   капитал</t>
    </r>
    <r>
      <rPr>
        <sz val="11"/>
        <rFont val="Arial Cyr"/>
        <family val="2"/>
      </rPr>
      <t xml:space="preserve">   е</t>
    </r>
  </si>
  <si>
    <t xml:space="preserve"> х.лв.   В   т.ч.  от :</t>
  </si>
  <si>
    <t xml:space="preserve"> х.лв.</t>
  </si>
  <si>
    <t>резервите</t>
  </si>
  <si>
    <r>
      <t xml:space="preserve"> 3. Изменение на</t>
    </r>
    <r>
      <rPr>
        <sz val="10"/>
        <rFont val="Arial"/>
        <family val="2"/>
      </rPr>
      <t xml:space="preserve"> запасите от продукция</t>
    </r>
  </si>
  <si>
    <t>1-0010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</si>
  <si>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</si>
  <si>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</si>
  <si>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</si>
  <si>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</si>
  <si>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</si>
  <si>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</si>
  <si>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IV. Нематериални активи</t>
  </si>
  <si>
    <t xml:space="preserve">     За  разлика   от   предходния   показател,   който  съпоставя  доходите  с  активите</t>
  </si>
  <si>
    <t xml:space="preserve">3. Вземания по финансов лизинг </t>
  </si>
  <si>
    <t>1-0510</t>
  </si>
  <si>
    <t>Общо за група VII:</t>
  </si>
  <si>
    <t>1-0040-1</t>
  </si>
  <si>
    <t>ВИНЗАВОД АД</t>
  </si>
  <si>
    <t xml:space="preserve">неконсолидиран </t>
  </si>
  <si>
    <t xml:space="preserve">01.01.2008-31.12.2008 година </t>
  </si>
  <si>
    <t>Забележка: Да се посочи метода на осчетоводяване на инвестициите</t>
  </si>
  <si>
    <t xml:space="preserve">Дата на съставяне:20.02.2009 година </t>
  </si>
  <si>
    <t>В.Каменова</t>
  </si>
  <si>
    <t>Ръководител:………………….</t>
  </si>
  <si>
    <t>Р.Чаталбашев</t>
  </si>
  <si>
    <t>IV. Дял от загубата на асоциирани и съвместни предприятия</t>
  </si>
  <si>
    <t>Забележка:  Справка № 2 - Отчет за доходите се изготвя само с натрупване.</t>
  </si>
  <si>
    <t>20.02.2009 г.</t>
  </si>
  <si>
    <t xml:space="preserve">Дата на съставяне: 20.02.2009година                                       </t>
  </si>
  <si>
    <t>/В.Каменова/</t>
  </si>
  <si>
    <t>/Р.Чаталбашев/</t>
  </si>
  <si>
    <t xml:space="preserve">                     - търговски заеми</t>
  </si>
  <si>
    <t xml:space="preserve">Общо за група III : </t>
  </si>
  <si>
    <t xml:space="preserve">Общо за раздел А : </t>
  </si>
  <si>
    <t xml:space="preserve"> Б. КРАТКОТРАЙНИ (КРАТКОСРОЧНИ) АКТИВИ</t>
  </si>
  <si>
    <t xml:space="preserve"> I. Материални запаси</t>
  </si>
  <si>
    <t xml:space="preserve"> 1. Материали</t>
  </si>
  <si>
    <t xml:space="preserve"> 2. Продукция</t>
  </si>
  <si>
    <t xml:space="preserve"> 3. Стоки</t>
  </si>
  <si>
    <t xml:space="preserve"> 5. Дребни продуктивни животни</t>
  </si>
  <si>
    <t xml:space="preserve"> 6. Незавършено производство</t>
  </si>
  <si>
    <t xml:space="preserve"> 7. Други материални запаси</t>
  </si>
  <si>
    <t xml:space="preserve"> II. Краткосрочни вземания</t>
  </si>
  <si>
    <t xml:space="preserve"> 1. Вземания от свързани предприятия</t>
  </si>
  <si>
    <t>4. Плащания, свързани с възнаграждения</t>
  </si>
  <si>
    <t xml:space="preserve"> Д. СЧЕТОВОДНА ЗАГУБА</t>
  </si>
  <si>
    <t xml:space="preserve"> Е. ЗАГУБА (Д + данъци)</t>
  </si>
  <si>
    <t>и  други,  което  ще  подобри  финансовия  резултат  през  следващи  периоди.</t>
  </si>
  <si>
    <r>
      <t xml:space="preserve"> (+) вливане</t>
    </r>
    <r>
      <rPr>
        <sz val="9"/>
        <rFont val="Arial Cyr"/>
        <family val="2"/>
      </rPr>
      <t>;(-) изтичане</t>
    </r>
  </si>
  <si>
    <t>на парични средства</t>
  </si>
  <si>
    <t>А. Източници на пари от оперативна дейност:</t>
  </si>
  <si>
    <t>Вземания</t>
  </si>
  <si>
    <t>Б. Източници на пари от финансова дейност:</t>
  </si>
  <si>
    <t>В. Източници на пари всичко (А+Б):</t>
  </si>
  <si>
    <t>Г. Изпозване на пари за дълготрайни активи:</t>
  </si>
  <si>
    <t>изтичане на парични средства.</t>
  </si>
  <si>
    <t>х.лв.,което</t>
  </si>
  <si>
    <t xml:space="preserve"> е</t>
  </si>
  <si>
    <t>от базисния период с</t>
  </si>
  <si>
    <t xml:space="preserve"> х. лв.Това</t>
  </si>
  <si>
    <t xml:space="preserve"> Анализ на ефективността на капитала</t>
  </si>
  <si>
    <t xml:space="preserve"> Анализ на обращаемостта на активите</t>
  </si>
  <si>
    <t xml:space="preserve"> Структура на разходите за дейността</t>
  </si>
  <si>
    <t xml:space="preserve"> Структура на дълготрайните активи</t>
  </si>
  <si>
    <t xml:space="preserve"> Анализ на печалбата и рентабилността</t>
  </si>
  <si>
    <t xml:space="preserve"> Показатели за динамика</t>
  </si>
  <si>
    <t xml:space="preserve"> Показатели за структура</t>
  </si>
  <si>
    <t xml:space="preserve"> Анализ на паричните потоци</t>
  </si>
  <si>
    <t xml:space="preserve"> Баланс</t>
  </si>
  <si>
    <t xml:space="preserve"> Отчет за приходите и разходите</t>
  </si>
  <si>
    <t xml:space="preserve"> Диаграми</t>
  </si>
  <si>
    <r>
      <t xml:space="preserve">на   фирмата  при  </t>
    </r>
    <r>
      <rPr>
        <b/>
        <u val="single"/>
        <sz val="11"/>
        <rFont val="Arial Cyr"/>
        <family val="2"/>
      </rPr>
      <t>рентабилността  на  собствеността</t>
    </r>
    <r>
      <rPr>
        <sz val="11"/>
        <rFont val="Arial Cyr"/>
        <family val="2"/>
      </rPr>
      <t xml:space="preserve">   се   съпоставят  доходи   с   вло-</t>
    </r>
  </si>
  <si>
    <t>жени  собствени  пари  под  формата  на  собствен (акционерен) капитал.</t>
  </si>
  <si>
    <t xml:space="preserve">     Така    формиран    този    показател    през    анализирания   период     е </t>
  </si>
  <si>
    <t xml:space="preserve">          Гл. счетоводител:                                               Ръководител:</t>
  </si>
  <si>
    <t>доходност  на   фирмата,  тъй   като   отчита   влиянието    на   данъчното  бреме.  В  крайна</t>
  </si>
  <si>
    <r>
      <t>получим</t>
    </r>
    <r>
      <rPr>
        <b/>
        <sz val="11"/>
        <rFont val="Arial Cyr"/>
        <family val="2"/>
      </rPr>
      <t xml:space="preserve"> нетния  оборотен  капитал</t>
    </r>
    <r>
      <rPr>
        <sz val="11"/>
        <rFont val="Arial Cyr"/>
        <family val="2"/>
      </rPr>
      <t>, с  който  разполага фирмата. През отчетния   период</t>
    </r>
  </si>
  <si>
    <t>той  е равен  на</t>
  </si>
  <si>
    <t xml:space="preserve"> от  предходната  година.</t>
  </si>
  <si>
    <t xml:space="preserve">  лева      постоянен</t>
  </si>
  <si>
    <t>капитал,    което     е     с</t>
  </si>
  <si>
    <t xml:space="preserve">    от    предходната</t>
  </si>
  <si>
    <t xml:space="preserve">     Един   лев  от  краткосрочните   задължения   се   покрива    с</t>
  </si>
  <si>
    <t xml:space="preserve"> лева</t>
  </si>
  <si>
    <t>налични   краткотрайни   активи,   което    е    с</t>
  </si>
  <si>
    <t xml:space="preserve"> 4. Друг основен капитал</t>
  </si>
  <si>
    <t xml:space="preserve">                 - други</t>
  </si>
  <si>
    <t>Основен капитал</t>
  </si>
  <si>
    <r>
      <t>Собствен капитал</t>
    </r>
    <r>
      <rPr>
        <sz val="11"/>
        <rFont val="Arial Cyr"/>
        <family val="2"/>
      </rPr>
      <t xml:space="preserve"> (1+2+3+4)</t>
    </r>
  </si>
  <si>
    <t>краткосрочните финансови активи</t>
  </si>
  <si>
    <t>средната наличност на материалните запаси</t>
  </si>
  <si>
    <t xml:space="preserve">а </t>
  </si>
  <si>
    <t xml:space="preserve">b </t>
  </si>
  <si>
    <t xml:space="preserve">a </t>
  </si>
  <si>
    <t xml:space="preserve">c </t>
  </si>
  <si>
    <t xml:space="preserve">d </t>
  </si>
  <si>
    <t>Парични средства</t>
  </si>
  <si>
    <r>
      <t>Налични краткотрайни активи</t>
    </r>
    <r>
      <rPr>
        <sz val="11"/>
        <rFont val="Arial Cyr"/>
        <family val="2"/>
      </rPr>
      <t xml:space="preserve"> (1+2+3+4)</t>
    </r>
  </si>
  <si>
    <t>Платима сума през периода за погасяване</t>
  </si>
  <si>
    <t>на дългосрочни задължения</t>
  </si>
  <si>
    <t>Ликвидност на краткосрочните задължения</t>
  </si>
  <si>
    <r>
      <t xml:space="preserve">Обща ликвидност  (1+2+3+4)/6      </t>
    </r>
    <r>
      <rPr>
        <b/>
        <sz val="12"/>
        <rFont val="Arial Cyr"/>
        <family val="2"/>
      </rPr>
      <t>&gt;=1.5</t>
    </r>
  </si>
  <si>
    <t>Приходи от обичайната дейност</t>
  </si>
  <si>
    <t>Собствен основен капитал</t>
  </si>
  <si>
    <t>Маржин на печалбата                      (6/1)</t>
  </si>
  <si>
    <t>процент, който плаща на кредиторите си за привлечения капитал.</t>
  </si>
  <si>
    <t xml:space="preserve">  рентабилност   в  сравнение  с  лихвения</t>
  </si>
  <si>
    <t>Печалба след данъчно облагане</t>
  </si>
  <si>
    <t>отсрочените данъци, задължения към свързани предприятия  и  други дългосрочни задълже-</t>
  </si>
  <si>
    <t>ния. През анализирания  период той  възлиза на</t>
  </si>
  <si>
    <t>х.лв. и е с</t>
  </si>
  <si>
    <r>
      <t xml:space="preserve">Като </t>
    </r>
    <r>
      <rPr>
        <b/>
        <sz val="11"/>
        <rFont val="Arial Cyr"/>
        <family val="2"/>
      </rPr>
      <t>структура постоянният капитал</t>
    </r>
    <r>
      <rPr>
        <sz val="11"/>
        <rFont val="Arial Cyr"/>
        <family val="2"/>
      </rPr>
      <t xml:space="preserve"> се разпределя на:</t>
    </r>
  </si>
  <si>
    <t xml:space="preserve">%   </t>
  </si>
  <si>
    <t xml:space="preserve"> Б.  От краткосрочни позиции</t>
  </si>
  <si>
    <t>Собственост на капитала</t>
  </si>
  <si>
    <t>Пасиви</t>
  </si>
  <si>
    <t>Р-ди за бъд. периоди</t>
  </si>
  <si>
    <t>Постоянен капитал</t>
  </si>
  <si>
    <t>Външни дългосрочни задължения</t>
  </si>
  <si>
    <t xml:space="preserve">       Всички промени в  активите  и  пасивите на фирмата  са  свързани  с  вливане  или</t>
  </si>
  <si>
    <t xml:space="preserve">       От</t>
  </si>
  <si>
    <t>Налични краткотр.активи</t>
  </si>
  <si>
    <t>сбор:</t>
  </si>
  <si>
    <t>краткосрочните  вземания</t>
  </si>
  <si>
    <t>краткосрочните задължения</t>
  </si>
  <si>
    <t>използването на краткотрайните активи. Това е синтезиран израз на резул-</t>
  </si>
  <si>
    <t>паричен поток от оперативна дейност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</si>
  <si>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</si>
  <si>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</si>
  <si>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</si>
  <si>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</si>
  <si>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</si>
  <si>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 xml:space="preserve">  реалните      активи      рентабилността</t>
  </si>
  <si>
    <t>пункта   или     с</t>
  </si>
  <si>
    <t>вия    резултат   рентабилността    се</t>
  </si>
  <si>
    <t xml:space="preserve">     Резултатите   от   анализа   на   горните  показатели  за  рентабилността  показват,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</si>
  <si>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</si>
  <si>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</si>
  <si>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</si>
  <si>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</si>
  <si>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</si>
  <si>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 xml:space="preserve"> влияние    за    това    оказва</t>
  </si>
  <si>
    <t>средната</t>
  </si>
  <si>
    <t>дни,   докато   от</t>
  </si>
  <si>
    <t>приходите   от  продажби  показателят   е</t>
  </si>
  <si>
    <t>дни.</t>
  </si>
  <si>
    <t xml:space="preserve">     През     анализирания    период     се     наблюдава</t>
  </si>
  <si>
    <r>
      <t>вземанията</t>
    </r>
    <r>
      <rPr>
        <sz val="11"/>
        <rFont val="Arial Cyr"/>
        <family val="2"/>
      </rPr>
      <t xml:space="preserve">   с </t>
    </r>
  </si>
  <si>
    <t>дни  или</t>
  </si>
  <si>
    <t xml:space="preserve"> средната   налич-</t>
  </si>
  <si>
    <t>резултат   следва   да   се  разгледа   във  връзка  с  ресурсоотдаването  на  останалите  по-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</si>
  <si>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</si>
  <si>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</si>
  <si>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</si>
  <si>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</si>
  <si>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</si>
  <si>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</si>
  <si>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</si>
  <si>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</si>
  <si>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</si>
  <si>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</si>
  <si>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</si>
  <si>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</si>
  <si>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</si>
  <si>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</si>
  <si>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</si>
  <si>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</si>
  <si>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</si>
  <si>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</si>
  <si>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</si>
  <si>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</si>
  <si>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</si>
  <si>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</si>
  <si>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</si>
  <si>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</si>
  <si>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</si>
  <si>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</si>
  <si>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 xml:space="preserve">ПРИЛОЖЕНИЕ 2  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</si>
  <si>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</si>
  <si>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</si>
  <si>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</si>
  <si>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</si>
  <si>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</si>
  <si>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</si>
  <si>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</si>
  <si>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</si>
  <si>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</si>
  <si>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</si>
  <si>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</si>
  <si>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</si>
  <si>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</si>
  <si>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</si>
  <si>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</si>
  <si>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</si>
  <si>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</si>
  <si>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</si>
  <si>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</si>
  <si>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на фирмата, както  и обслужването на дълговете към търговските банки.</t>
  </si>
  <si>
    <t xml:space="preserve">    Анализира дейността, свързана с емисионната и дивидентната политика</t>
  </si>
  <si>
    <t xml:space="preserve"> 3. Паричните  потоци,  свързани  с </t>
  </si>
  <si>
    <t>3-2204,1</t>
  </si>
  <si>
    <t xml:space="preserve"> 7. Платен корпорат. данък върху печалбата</t>
  </si>
  <si>
    <t>3-2206-1</t>
  </si>
  <si>
    <t>3-2301,1</t>
  </si>
  <si>
    <t>3-2302,1</t>
  </si>
  <si>
    <t>3-2302-2</t>
  </si>
  <si>
    <t>3-2305</t>
  </si>
  <si>
    <t>3-2306</t>
  </si>
  <si>
    <t xml:space="preserve"> инвестиции</t>
  </si>
  <si>
    <t xml:space="preserve"> 4. Паричните  потоци,  свързани   с</t>
  </si>
  <si>
    <t>3-2302,3,4</t>
  </si>
  <si>
    <t>3-2303</t>
  </si>
  <si>
    <t xml:space="preserve"> 7. Други парични потоци от инвест. дейност</t>
  </si>
  <si>
    <t>паричен поток от финансова дейност</t>
  </si>
  <si>
    <t xml:space="preserve"> Биологични активи и други ДМА</t>
  </si>
  <si>
    <t>1-0016,17</t>
  </si>
  <si>
    <t>на  рентабилността</t>
  </si>
  <si>
    <t>на  собствения  капитал   с</t>
  </si>
  <si>
    <t>пункта    или     с</t>
  </si>
  <si>
    <t xml:space="preserve"> Печалбата на 1 лв.</t>
  </si>
  <si>
    <t>собствен     капитал     нараства      с</t>
  </si>
  <si>
    <t>темпове  спрямо  капиталова-</t>
  </si>
  <si>
    <t>та величина.</t>
  </si>
  <si>
    <t xml:space="preserve">  собствения     капитал     рентабилността      се</t>
  </si>
  <si>
    <t>Ако желаете да възстановите защитата на "Anal_0" изпълнете:</t>
  </si>
  <si>
    <t>Protect Sheet...</t>
  </si>
  <si>
    <t>OK</t>
  </si>
  <si>
    <t>Работете  само  със  защитени  таблици (файлове). Така  ще  предпазите</t>
  </si>
  <si>
    <t>програмата от повреди.</t>
  </si>
  <si>
    <t>А91a_Нулиране_актива_на_баланса</t>
  </si>
  <si>
    <t>Ctrl</t>
  </si>
  <si>
    <t>Задръжте бутона</t>
  </si>
  <si>
    <t>Enter</t>
  </si>
  <si>
    <t>А92p_Нулиране_пасива_на_баланса</t>
  </si>
  <si>
    <t>…и  т.н....</t>
  </si>
  <si>
    <t>З а   к о н с у л т а ц и и :</t>
  </si>
  <si>
    <r>
      <t xml:space="preserve"> тел.: </t>
    </r>
    <r>
      <rPr>
        <b/>
        <sz val="12"/>
        <rFont val="Arial Cyr"/>
        <family val="2"/>
      </rPr>
      <t>032/ 44 30 60</t>
    </r>
  </si>
  <si>
    <t>Коеф.</t>
  </si>
  <si>
    <t>Извънредни разходи</t>
  </si>
  <si>
    <t>Финансови приходи</t>
  </si>
  <si>
    <t>Извънредни приходи</t>
  </si>
  <si>
    <t>Данъци</t>
  </si>
  <si>
    <t>Структура на актива на баланса</t>
  </si>
  <si>
    <t>Сума на актива:</t>
  </si>
  <si>
    <t>Структура на пасива на баланса</t>
  </si>
  <si>
    <t>Сума на пасива:</t>
  </si>
  <si>
    <t>Структура на разходите от ОПР</t>
  </si>
  <si>
    <t xml:space="preserve"> 2. Елиминиране на приходи и разходи, посочени в отчета за</t>
  </si>
  <si>
    <t xml:space="preserve">     а) инвестиционна дейност</t>
  </si>
  <si>
    <t xml:space="preserve">     б) финансова дейност</t>
  </si>
  <si>
    <t xml:space="preserve"> Б. ОБЩО ПРИХОДИ ОТ ДЕЙНОСТТА (I + II + III)</t>
  </si>
  <si>
    <t xml:space="preserve"> В. ЗАГУБА ОТ ОБИЧАЙНАТА ДЕЙНОСТ</t>
  </si>
  <si>
    <t xml:space="preserve"> IV. Извънредни приходи</t>
  </si>
  <si>
    <t xml:space="preserve"> Г. ОБЩО ПРИХОДИ (Б + IV)</t>
  </si>
  <si>
    <r>
      <t>Програмата е разработена от фирма "</t>
    </r>
    <r>
      <rPr>
        <b/>
        <sz val="10"/>
        <rFont val="Arial Cyr"/>
        <family val="2"/>
      </rPr>
      <t>Дайк</t>
    </r>
    <r>
      <rPr>
        <sz val="10"/>
        <rFont val="Arial Cyr"/>
        <family val="2"/>
      </rPr>
      <t xml:space="preserve">" - тел.: (032) 25 30 60; GSM: 088 72 72 248;  ICQ: 338172185                                           E-mail: </t>
    </r>
    <r>
      <rPr>
        <sz val="10"/>
        <color indexed="12"/>
        <rFont val="Arial Cyr"/>
        <family val="0"/>
      </rPr>
      <t>michev@evrocom.net</t>
    </r>
    <r>
      <rPr>
        <sz val="10"/>
        <rFont val="Arial Cyr"/>
        <family val="2"/>
      </rPr>
      <t xml:space="preserve">   Web: </t>
    </r>
    <r>
      <rPr>
        <sz val="10"/>
        <color indexed="12"/>
        <rFont val="Arial Cyr"/>
        <family val="0"/>
      </rPr>
      <t>www.daik.dir.bg</t>
    </r>
  </si>
  <si>
    <r>
      <t xml:space="preserve">                     - </t>
    </r>
    <r>
      <rPr>
        <sz val="11"/>
        <color indexed="12"/>
        <rFont val="Arial"/>
        <family val="2"/>
      </rPr>
      <t>смесени предприятия</t>
    </r>
  </si>
  <si>
    <r>
      <t xml:space="preserve">                     - </t>
    </r>
    <r>
      <rPr>
        <sz val="11"/>
        <color indexed="12"/>
        <rFont val="Arial"/>
        <family val="2"/>
      </rPr>
      <t>асоциирани предприятия</t>
    </r>
  </si>
  <si>
    <r>
      <t xml:space="preserve">                     - </t>
    </r>
    <r>
      <rPr>
        <sz val="11"/>
        <color indexed="12"/>
        <rFont val="Arial"/>
        <family val="2"/>
      </rPr>
      <t>други предприятия</t>
    </r>
  </si>
  <si>
    <t xml:space="preserve"> Дългосрочни финансови активи</t>
  </si>
  <si>
    <t xml:space="preserve"> Дялове и участия:</t>
  </si>
  <si>
    <t xml:space="preserve"> Инвестиционни имоти</t>
  </si>
  <si>
    <t xml:space="preserve"> Дългосрочни вземания</t>
  </si>
  <si>
    <r>
      <t xml:space="preserve">                     - </t>
    </r>
    <r>
      <rPr>
        <sz val="11"/>
        <color indexed="12"/>
        <rFont val="Arial"/>
        <family val="2"/>
      </rPr>
      <t>други дългосрочни вземания</t>
    </r>
  </si>
  <si>
    <t>IV</t>
  </si>
  <si>
    <t xml:space="preserve"> Търговска репутация</t>
  </si>
  <si>
    <t xml:space="preserve"> Положителна репутация</t>
  </si>
  <si>
    <t xml:space="preserve"> Отрицателна репутация</t>
  </si>
  <si>
    <t>V</t>
  </si>
  <si>
    <t xml:space="preserve"> Разходи за бъдещи периоди</t>
  </si>
  <si>
    <t>Б</t>
  </si>
  <si>
    <t>I</t>
  </si>
  <si>
    <t xml:space="preserve"> Материални запаси</t>
  </si>
  <si>
    <t>парични средства (А / Б)</t>
  </si>
  <si>
    <t>Дългосрочни  към   краткосрочни  изходящи парични</t>
  </si>
  <si>
    <t>потоци (В / Г)</t>
  </si>
  <si>
    <t>степен  на  ефективност   на   разходите,   свързани   с   производството   и  реализацията</t>
  </si>
  <si>
    <t xml:space="preserve">     Този  показател   има  подчертано   оперативен   характер.  Чрез   него   се  анали-</t>
  </si>
  <si>
    <t>зира   преди   всичко   ефективността   на  производството   на  отделните  видове  стоки   и</t>
  </si>
  <si>
    <t>услуги,   което    има    важно    значение    за   усъвършенствуване   на    производствената</t>
  </si>
  <si>
    <t>структура.</t>
  </si>
  <si>
    <t xml:space="preserve">     Така   установена   рентабилността,  обаче,  не   може    да   характеризира   ефек-</t>
  </si>
  <si>
    <t>тивността   на   цялостната   дейност   на   фирмата,  на  използването  на  всички  ресурси.</t>
  </si>
  <si>
    <t>Напишете:</t>
  </si>
  <si>
    <t>Натиснете:</t>
  </si>
  <si>
    <t>К о м е н т а р:</t>
  </si>
  <si>
    <t>A9_Copy_Paste</t>
  </si>
  <si>
    <t>От менюто на анализа</t>
  </si>
  <si>
    <t>Десен бутон</t>
  </si>
  <si>
    <t>Символа на мишката да е в маркираната зона</t>
  </si>
  <si>
    <t>Copy</t>
  </si>
  <si>
    <t>От краткото меню</t>
  </si>
  <si>
    <t>Window</t>
  </si>
  <si>
    <t>От менюто на Excel</t>
  </si>
  <si>
    <t>Anal_0</t>
  </si>
  <si>
    <t>Наименованието на файла</t>
  </si>
  <si>
    <t>От менюто на "Anal_0"</t>
  </si>
  <si>
    <t>Paste</t>
  </si>
  <si>
    <t>Esc</t>
  </si>
  <si>
    <t>От клавиатурата</t>
  </si>
  <si>
    <t>Ляв   бутон</t>
  </si>
  <si>
    <t>ANAL_6_2002</t>
  </si>
  <si>
    <t>Наименованието на анализа</t>
  </si>
  <si>
    <t>File</t>
  </si>
  <si>
    <t>Close</t>
  </si>
  <si>
    <t xml:space="preserve"> V. Разходи за данъци</t>
  </si>
  <si>
    <t xml:space="preserve">      - Данъци от печалбата</t>
  </si>
  <si>
    <t xml:space="preserve">      - Други</t>
  </si>
  <si>
    <t>Н а и м е н о в а н и е</t>
  </si>
  <si>
    <t>н а</t>
  </si>
  <si>
    <t>3-2201,1</t>
  </si>
  <si>
    <t>3-2202</t>
  </si>
  <si>
    <t>3-2203</t>
  </si>
  <si>
    <t>3-2206</t>
  </si>
  <si>
    <t>(без корпорат. данък върху печалбата)</t>
  </si>
  <si>
    <t>3-2205</t>
  </si>
  <si>
    <t>3-2208</t>
  </si>
  <si>
    <r>
      <t>Текущи задължения</t>
    </r>
    <r>
      <rPr>
        <sz val="11"/>
        <rFont val="Arial Cyr"/>
        <family val="2"/>
      </rPr>
      <t xml:space="preserve">                    (6+7)</t>
    </r>
  </si>
  <si>
    <t>хил. лв:</t>
  </si>
  <si>
    <t>"НатурелА", София 2000г.</t>
  </si>
  <si>
    <t>Зви  Боди,  Алекс  Кейн  и  Алън  Дж. Маркъс,  Инвестиции (трето  издание)</t>
  </si>
  <si>
    <t xml:space="preserve">Период на събиране на вземанията </t>
  </si>
  <si>
    <t>Период на погасяване на задълженията</t>
  </si>
  <si>
    <t xml:space="preserve"> ПРИХОДИ ОТ ОБИЧАЙНАТА ДЕЙНОСТ</t>
  </si>
  <si>
    <t xml:space="preserve"> Нетни приходи от продажби на:</t>
  </si>
  <si>
    <t xml:space="preserve"> Коефициенти</t>
  </si>
  <si>
    <t>Коефициенти - продължение</t>
  </si>
  <si>
    <t>Динамиката    на     коефициентите     сочи     приоритет      на       ефектността      на</t>
  </si>
  <si>
    <r>
      <t xml:space="preserve"> обращаемостта     на      материалните     запаси  </t>
    </r>
    <r>
      <rPr>
        <sz val="11"/>
        <rFont val="Arial Cyr"/>
        <family val="2"/>
      </rPr>
      <t xml:space="preserve">  с</t>
    </r>
  </si>
  <si>
    <t>на фирмата, определя тенденциите относно нейното финансовото здраве и  формира  ста-</t>
  </si>
  <si>
    <t>използва  за  краткосрочно  посрещане  на  нараснали потребности от оборотен капитал,</t>
  </si>
  <si>
    <t>Активи по отсрочени данъци</t>
  </si>
  <si>
    <r>
      <t xml:space="preserve"> 6</t>
    </r>
    <r>
      <rPr>
        <sz val="10"/>
        <rFont val="Arial"/>
        <family val="0"/>
      </rPr>
      <t>. Получени дивиденти от инвестиции</t>
    </r>
  </si>
  <si>
    <t>3-2200</t>
  </si>
  <si>
    <t>3-2300</t>
  </si>
  <si>
    <t>3-2401,1</t>
  </si>
  <si>
    <t>3-2403,1</t>
  </si>
  <si>
    <t>3-2405</t>
  </si>
  <si>
    <t>3-2407</t>
  </si>
  <si>
    <t>2-1700</t>
  </si>
  <si>
    <t>2-1600</t>
  </si>
  <si>
    <t>2-1810</t>
  </si>
  <si>
    <t>2-1750</t>
  </si>
  <si>
    <t>2-1800</t>
  </si>
  <si>
    <t>2-1850</t>
  </si>
  <si>
    <t>2-1455-2</t>
  </si>
  <si>
    <t>2-1900</t>
  </si>
  <si>
    <t xml:space="preserve"> Е. ПЕЧАЛБА (Д - V)</t>
  </si>
  <si>
    <t xml:space="preserve"> Г. ОБЩО РАЗХОДИ (Б + IV)</t>
  </si>
  <si>
    <t xml:space="preserve"> Б. ОБЩО РАЗХОДИ ЗА ДЕЙНОСТТА (I + II + III)</t>
  </si>
  <si>
    <t xml:space="preserve">Всичко (Г + V + Е)  </t>
  </si>
  <si>
    <t>Дългосрочни заеми</t>
  </si>
  <si>
    <t>3</t>
  </si>
  <si>
    <t xml:space="preserve">     Рентабилността,   установена    като    отношение    на    финансовия   резултат   от</t>
  </si>
  <si>
    <t xml:space="preserve"> Други дълготрайни нематериални активи</t>
  </si>
  <si>
    <r>
      <t xml:space="preserve">   в  т.ч. в :   - </t>
    </r>
    <r>
      <rPr>
        <sz val="11"/>
        <color indexed="12"/>
        <rFont val="Arial"/>
        <family val="2"/>
      </rPr>
      <t>дъщерни предприятия</t>
    </r>
  </si>
  <si>
    <t>стрелката, намираща  се  между Name Box (поле за адрес) и линията   за  формули,</t>
  </si>
  <si>
    <t>над колона А, ако сте в началото на електронната таблица.</t>
  </si>
  <si>
    <t>Забележка:</t>
  </si>
  <si>
    <t xml:space="preserve">  в т.ч.  за дивиденти</t>
  </si>
  <si>
    <t xml:space="preserve"> 4. Покриване на загуба</t>
  </si>
  <si>
    <t xml:space="preserve"> 5. Последващи оценки на дълг. мат. активи</t>
  </si>
  <si>
    <t xml:space="preserve"> на отчетния период</t>
  </si>
  <si>
    <t>Печалба преди данъчно облагане</t>
  </si>
  <si>
    <t>Разходи за данъци</t>
  </si>
  <si>
    <t>Нетни приходи от продажби</t>
  </si>
  <si>
    <t>Приходи от финансирания</t>
  </si>
  <si>
    <t xml:space="preserve">Приходи от обичайната дейност </t>
  </si>
  <si>
    <t>лева  дългове,  а    през    анализирания    период</t>
  </si>
  <si>
    <t xml:space="preserve"> лева,    което    е    с</t>
  </si>
  <si>
    <t>Други приходи</t>
  </si>
  <si>
    <t>Нетна загуба</t>
  </si>
  <si>
    <r>
      <t xml:space="preserve">   Какъв е паричния поток на фирмата през анализирания период, съставен по </t>
    </r>
    <r>
      <rPr>
        <b/>
        <sz val="11"/>
        <rFont val="Arial Cyr"/>
        <family val="2"/>
      </rPr>
      <t>прекия</t>
    </r>
  </si>
  <si>
    <t xml:space="preserve"> 4. Корекции за:</t>
  </si>
  <si>
    <t xml:space="preserve">     а) амортизации</t>
  </si>
  <si>
    <t xml:space="preserve">     б) резерв от преводи на финансови отчети</t>
  </si>
  <si>
    <t xml:space="preserve">     в) други</t>
  </si>
  <si>
    <t xml:space="preserve"> 5. Изменение на:</t>
  </si>
  <si>
    <t xml:space="preserve">     а) стоково-материалните запаси</t>
  </si>
  <si>
    <t xml:space="preserve">     б) краткосрочни финансови активи</t>
  </si>
  <si>
    <t xml:space="preserve">     в) вземанията от основна дейност</t>
  </si>
  <si>
    <t xml:space="preserve">     г) задълженията за основна дейност</t>
  </si>
  <si>
    <t xml:space="preserve">    д) други активи и пасиви от основна дейност</t>
  </si>
  <si>
    <t xml:space="preserve"> Разходи за осигуровки</t>
  </si>
  <si>
    <t xml:space="preserve"> Други разходи</t>
  </si>
  <si>
    <r>
      <t xml:space="preserve">   в  т.ч. :  - </t>
    </r>
    <r>
      <rPr>
        <sz val="11"/>
        <color indexed="12"/>
        <rFont val="Arial"/>
        <family val="2"/>
      </rPr>
      <t>обезценка на активи</t>
    </r>
  </si>
  <si>
    <t>лева      или</t>
  </si>
  <si>
    <t xml:space="preserve">Общо за група I : </t>
  </si>
  <si>
    <t xml:space="preserve"> II. Дълготрайни нематериални активи</t>
  </si>
  <si>
    <t xml:space="preserve"> 1. Права върху собственост</t>
  </si>
  <si>
    <t>Краткосрочни финасови активи</t>
  </si>
  <si>
    <r>
      <t xml:space="preserve">Приходи за бъдещи </t>
    </r>
    <r>
      <rPr>
        <sz val="10"/>
        <rFont val="Arial Cyr"/>
        <family val="0"/>
      </rPr>
      <t>периоди и финансирания</t>
    </r>
  </si>
  <si>
    <t>Амортизации</t>
  </si>
  <si>
    <t>Вашите познания на Excel ще ви позволят да отпечатате и отделни страници,</t>
  </si>
  <si>
    <t>Баланс</t>
  </si>
  <si>
    <t>Раздели,  групи,  статии</t>
  </si>
  <si>
    <r>
      <t xml:space="preserve"> 7. Други дълготрайни</t>
    </r>
    <r>
      <rPr>
        <sz val="10"/>
        <rFont val="Arial"/>
        <family val="2"/>
      </rPr>
      <t xml:space="preserve"> материални активи</t>
    </r>
  </si>
  <si>
    <r>
      <t xml:space="preserve"> 8. </t>
    </r>
    <r>
      <rPr>
        <sz val="10"/>
        <rFont val="Arial"/>
        <family val="2"/>
      </rPr>
      <t>Разходи за придобиване и ликвидация на</t>
    </r>
  </si>
  <si>
    <r>
      <t xml:space="preserve"> 4. Други</t>
    </r>
    <r>
      <rPr>
        <sz val="10"/>
        <rFont val="Arial"/>
        <family val="2"/>
      </rPr>
      <t xml:space="preserve"> дълготрайни нематериални активи</t>
    </r>
  </si>
  <si>
    <r>
      <t xml:space="preserve">                     - други </t>
    </r>
    <r>
      <rPr>
        <sz val="10"/>
        <rFont val="Arial"/>
        <family val="2"/>
      </rPr>
      <t>дългосрочни вземания</t>
    </r>
  </si>
  <si>
    <r>
      <t xml:space="preserve"> 4. Млади животни и животни</t>
    </r>
    <r>
      <rPr>
        <sz val="10"/>
        <rFont val="Arial"/>
        <family val="2"/>
      </rPr>
      <t xml:space="preserve"> за угояване</t>
    </r>
  </si>
  <si>
    <t>Анализ на имуществената структура на</t>
  </si>
  <si>
    <t>Анализ на ликвидността и платежоспособността на</t>
  </si>
  <si>
    <t>Анализ на дълга на</t>
  </si>
  <si>
    <t>Анализ на краткосрочните задължения на</t>
  </si>
  <si>
    <t>Структура на разходите за дейността в</t>
  </si>
  <si>
    <t>Анализ на печалбата и рентабилността на</t>
  </si>
  <si>
    <t>на  стоките  и   услугите  в</t>
  </si>
  <si>
    <t>Основни показатели и коефициенти на</t>
  </si>
  <si>
    <t>печеливша   асортиментна  структура   на  производството    и   услугите    има  възможност</t>
  </si>
  <si>
    <t xml:space="preserve"> Разходи за възнаграждения</t>
  </si>
  <si>
    <t>Боб Вос, Корпоративен анализ - пътеводител; второ издание, "Класика и Стил" ООД,</t>
  </si>
  <si>
    <t>София 2006г.</t>
  </si>
  <si>
    <t>Вземания от клиенти и доставчици</t>
  </si>
  <si>
    <t>Н  а  и  м  е  н  о  в  а  н  и  е</t>
  </si>
  <si>
    <t xml:space="preserve"> 6. Изплатени дивиденти</t>
  </si>
  <si>
    <t>3-2404-1</t>
  </si>
  <si>
    <t>3-2404</t>
  </si>
  <si>
    <t>3-2400</t>
  </si>
  <si>
    <t>3-2500</t>
  </si>
  <si>
    <t>3-2600</t>
  </si>
  <si>
    <t>3-2700</t>
  </si>
  <si>
    <t>3-2700-1</t>
  </si>
  <si>
    <t>3-2700-2</t>
  </si>
  <si>
    <t xml:space="preserve"> Е. Парични средства в края на периода,в т.ч.:</t>
  </si>
  <si>
    <t xml:space="preserve"> Наличност в касата по банкови сметки</t>
  </si>
  <si>
    <r>
      <t xml:space="preserve">     През  анализирания   период   са  реализирани  </t>
    </r>
    <r>
      <rPr>
        <b/>
        <u val="single"/>
        <sz val="11"/>
        <rFont val="Arial Cyr"/>
        <family val="2"/>
      </rPr>
      <t>приходи  от  обичайната  дейност</t>
    </r>
  </si>
  <si>
    <r>
      <t xml:space="preserve">     </t>
    </r>
    <r>
      <rPr>
        <b/>
        <u val="single"/>
        <sz val="11"/>
        <rFont val="Arial Cyr"/>
        <family val="2"/>
      </rPr>
      <t>Разходите  за  обичайната  дейност</t>
    </r>
    <r>
      <rPr>
        <sz val="11"/>
        <rFont val="Arial Cyr"/>
        <family val="2"/>
      </rPr>
      <t xml:space="preserve">  през  същия период  възлизат  на</t>
    </r>
  </si>
  <si>
    <t>(разликата между приходите и разходите  за  дейността) е</t>
  </si>
  <si>
    <r>
      <t xml:space="preserve">     През   анализирания   период    </t>
    </r>
    <r>
      <rPr>
        <b/>
        <u val="single"/>
        <sz val="11"/>
        <rFont val="Arial Cyr"/>
        <family val="2"/>
      </rPr>
      <t>финансовият  резултат  от  обичайната дейност</t>
    </r>
  </si>
  <si>
    <t xml:space="preserve">  Постъпления от основна дейност</t>
  </si>
  <si>
    <r>
      <t xml:space="preserve"> 4. </t>
    </r>
    <r>
      <rPr>
        <sz val="8"/>
        <rFont val="Arial"/>
        <family val="2"/>
      </rPr>
      <t>Положителни</t>
    </r>
    <r>
      <rPr>
        <sz val="7"/>
        <rFont val="Arial"/>
        <family val="2"/>
      </rPr>
      <t xml:space="preserve"> разлики от промяна на валутни курсове</t>
    </r>
  </si>
  <si>
    <r>
      <t xml:space="preserve"> 5. </t>
    </r>
    <r>
      <rPr>
        <sz val="11"/>
        <rFont val="Arial"/>
        <family val="2"/>
      </rPr>
      <t>Други</t>
    </r>
    <r>
      <rPr>
        <sz val="10"/>
        <rFont val="Arial"/>
        <family val="2"/>
      </rPr>
      <t xml:space="preserve"> приходи от финансови операции</t>
    </r>
  </si>
  <si>
    <t>ОПР</t>
  </si>
  <si>
    <t xml:space="preserve">     Какво е състоянието по дълга на фирмата през  анализирания  период.</t>
  </si>
  <si>
    <t xml:space="preserve">     През    базисния    период   1  лев    от     собствения     капитал     покрива</t>
  </si>
  <si>
    <t>паричните  средства</t>
  </si>
  <si>
    <t>краткосрочните  задължения</t>
  </si>
  <si>
    <t>през</t>
  </si>
  <si>
    <t>анализирания период  при</t>
  </si>
  <si>
    <t>през     базисния    период,   което     е    с</t>
  </si>
  <si>
    <t>пункта     или</t>
  </si>
  <si>
    <t>спрямо  базисния  период  са:</t>
  </si>
  <si>
    <t>краткосрочните вземания</t>
  </si>
  <si>
    <t>Краткосрони инвестиции</t>
  </si>
  <si>
    <t>паричните средства</t>
  </si>
  <si>
    <t>платимите суми през периода за</t>
  </si>
  <si>
    <t xml:space="preserve">     погасяване на  дългосрочни задължения</t>
  </si>
  <si>
    <t>платими суми</t>
  </si>
  <si>
    <t>Материални запаси</t>
  </si>
  <si>
    <t>Краткосрочни финансови активи</t>
  </si>
  <si>
    <r>
      <t xml:space="preserve">Незабавна ликвидност    (3+4)/6      </t>
    </r>
    <r>
      <rPr>
        <b/>
        <sz val="12"/>
        <rFont val="Arial Cyr"/>
        <family val="2"/>
      </rPr>
      <t>&gt;=0.2</t>
    </r>
  </si>
  <si>
    <t>Незабавна ликвидност    (3+4)/8</t>
  </si>
  <si>
    <t xml:space="preserve">     в) вземанията от инвестиционна дейност</t>
  </si>
  <si>
    <t xml:space="preserve">     г) задълженията за инвестиционна дейност</t>
  </si>
  <si>
    <t>Период на събиране на вземанията от клиенти в дни</t>
  </si>
  <si>
    <t>средната наличност на вземанията</t>
  </si>
  <si>
    <t>Следвайте тази последователност в  работата  с  продукта  за да получите</t>
  </si>
  <si>
    <t>крайния  резултат.</t>
  </si>
  <si>
    <t>1.</t>
  </si>
  <si>
    <t xml:space="preserve"> Отворете от съответната директория файл "Anal_0"</t>
  </si>
  <si>
    <t>2.</t>
  </si>
  <si>
    <t xml:space="preserve"> Запишете го под ново име - примерно "Anal_6_2002" (шести месец 2002г.)</t>
  </si>
  <si>
    <t>3.</t>
  </si>
  <si>
    <t xml:space="preserve"> От менюто натиснете върху "А1_Баланс" и попълнете сините клетки.</t>
  </si>
  <si>
    <t xml:space="preserve">  В4 или С4, както се вижда ). Изписва се така: 30/9/99 или 31/12/2001,</t>
  </si>
  <si>
    <t xml:space="preserve"> Попълвайте  само  оцветените  в  синьо  клетки ( те  не  са  защитени)</t>
  </si>
  <si>
    <t xml:space="preserve"> Оцветените  в  червено  клетки  са  с  формули, но  те  могат  и  да  се  попълват</t>
  </si>
  <si>
    <t xml:space="preserve"> по  ваша  преценка ( не  са  защитени)</t>
  </si>
  <si>
    <t>A2_ОПР</t>
  </si>
  <si>
    <t>A3a_ОПП_ПМ</t>
  </si>
  <si>
    <t>A4_ОСК</t>
  </si>
  <si>
    <t>анализираният     период      то      е</t>
  </si>
  <si>
    <t>или   с</t>
  </si>
  <si>
    <t xml:space="preserve"> лева    собствен    капитал ,   което     е    с</t>
  </si>
  <si>
    <t>с</t>
  </si>
  <si>
    <t xml:space="preserve"> от предходната година.</t>
  </si>
  <si>
    <t xml:space="preserve">     Един  лев  от  дълготрайните  активи  се  покрива  с</t>
  </si>
  <si>
    <t xml:space="preserve"> лева      собствен</t>
  </si>
  <si>
    <t>капитал,   което      е       с</t>
  </si>
  <si>
    <t xml:space="preserve">  от    предходната</t>
  </si>
  <si>
    <t>година.</t>
  </si>
  <si>
    <t xml:space="preserve">     Важен    финансов   индикатор    за   фирмата    е</t>
  </si>
  <si>
    <t>н е т е н</t>
  </si>
  <si>
    <r>
      <t>Средна наличност на вземанията</t>
    </r>
    <r>
      <rPr>
        <sz val="10"/>
        <rFont val="Arial Cyr"/>
        <family val="0"/>
      </rPr>
      <t xml:space="preserve"> от клиенти</t>
    </r>
  </si>
  <si>
    <t>Пазарна стойност на акциите на фирмата</t>
  </si>
  <si>
    <t>хил. лв.  Той  е  на  лице, тъй  като  кратко-</t>
  </si>
  <si>
    <t>трайните  активи  през  анализирания  период</t>
  </si>
  <si>
    <t>в    следващите   периоди    значително    да    подобри   ефективността    на   инвестирания</t>
  </si>
  <si>
    <t>капитал      в</t>
  </si>
  <si>
    <r>
      <t xml:space="preserve">Показатели за динамика </t>
    </r>
    <r>
      <rPr>
        <sz val="11"/>
        <rFont val="Arial Cyr"/>
        <family val="2"/>
      </rPr>
      <t>(спрямо предходната година</t>
    </r>
    <r>
      <rPr>
        <sz val="12"/>
        <rFont val="Arial Cyr"/>
        <family val="2"/>
      </rPr>
      <t xml:space="preserve">)  </t>
    </r>
    <r>
      <rPr>
        <b/>
        <sz val="12"/>
        <rFont val="Arial Cyr"/>
        <family val="0"/>
      </rPr>
      <t>в</t>
    </r>
  </si>
  <si>
    <t>Анализ на паричните потоци в</t>
  </si>
  <si>
    <t xml:space="preserve">     Разликата   между   нетния    финансов    резултат   и    финансовия   резултат  преди</t>
  </si>
  <si>
    <t>x</t>
  </si>
  <si>
    <t>1- 0060</t>
  </si>
  <si>
    <t>1- 0060-1</t>
  </si>
  <si>
    <t xml:space="preserve"> Активи по отсрочени даници</t>
  </si>
  <si>
    <t xml:space="preserve"> Материални</t>
  </si>
  <si>
    <t xml:space="preserve"> Нематериални</t>
  </si>
  <si>
    <r>
      <t xml:space="preserve"> Дългосрочни </t>
    </r>
    <r>
      <rPr>
        <sz val="11"/>
        <rFont val="Arial Cyr"/>
        <family val="0"/>
      </rPr>
      <t>финан. активи</t>
    </r>
  </si>
  <si>
    <r>
      <t xml:space="preserve"> Разходи за</t>
    </r>
    <r>
      <rPr>
        <sz val="9"/>
        <rFont val="Arial Cyr"/>
        <family val="0"/>
      </rPr>
      <t xml:space="preserve"> бъдещи периоди</t>
    </r>
  </si>
  <si>
    <t xml:space="preserve"> Парични средства</t>
  </si>
  <si>
    <t xml:space="preserve"> Р-ди за бъдещи периоди</t>
  </si>
  <si>
    <t xml:space="preserve"> Краткосрочни финан. активи</t>
  </si>
  <si>
    <t>1- 0510-1</t>
  </si>
  <si>
    <t xml:space="preserve"> Други нетекущи пасиви</t>
  </si>
  <si>
    <t>1-0510-2/618,       1-610-1</t>
  </si>
  <si>
    <t>1- 0700,1</t>
  </si>
  <si>
    <r>
      <t xml:space="preserve">        </t>
    </r>
    <r>
      <rPr>
        <u val="single"/>
        <sz val="12"/>
        <rFont val="Arial Cyr"/>
        <family val="2"/>
      </rPr>
      <t>Забележка:</t>
    </r>
  </si>
  <si>
    <t>наличност   на   материалните  запаси,  от  което   този   показател   е</t>
  </si>
  <si>
    <t>на  имуществото (8/5)</t>
  </si>
  <si>
    <t>талов ресурс (финансова автономност) (5/13)</t>
  </si>
  <si>
    <r>
      <t xml:space="preserve">ресурс (12/13)                                </t>
    </r>
    <r>
      <rPr>
        <b/>
        <sz val="12"/>
        <rFont val="Arial Cyr"/>
        <family val="2"/>
      </rPr>
      <t>&lt;=40%</t>
    </r>
  </si>
  <si>
    <r>
      <t>приходите и разходите</t>
    </r>
    <r>
      <rPr>
        <sz val="10"/>
        <rFont val="Arial"/>
        <family val="2"/>
      </rPr>
      <t xml:space="preserve"> - като компенсиран финансов резултат, от :</t>
    </r>
  </si>
  <si>
    <t xml:space="preserve">     в) данъци от печалбата</t>
  </si>
  <si>
    <t xml:space="preserve"> 3. Счетоводна печалба/загуба от основна дейност</t>
  </si>
  <si>
    <t>2a</t>
  </si>
  <si>
    <t>Счита се, че една фирма не е застрашена от банкрут когато изчислената точка на бан-</t>
  </si>
  <si>
    <t xml:space="preserve">крута надхвърля числото 3. През анализирания период този показател възлиза на </t>
  </si>
  <si>
    <t xml:space="preserve">през  базисния  период,  или  с </t>
  </si>
  <si>
    <t>Това изменение се</t>
  </si>
  <si>
    <t>дължи на следните фактори:</t>
  </si>
  <si>
    <t>нетения оборотен (работен) капитал</t>
  </si>
  <si>
    <t>общите активи</t>
  </si>
  <si>
    <t>неразпределената печалба</t>
  </si>
  <si>
    <t>финансовия резултат</t>
  </si>
  <si>
    <t>пазарната стойност на акциите на фирмата</t>
  </si>
  <si>
    <t>стойността на общия дълг</t>
  </si>
  <si>
    <t xml:space="preserve">в    сравнение    с    базисния    период  </t>
  </si>
  <si>
    <t>х. лв. или</t>
  </si>
  <si>
    <t xml:space="preserve"> А. ПРИХОДИ ОТ ОБИЧАЙНАТА ДЕЙНОСТ</t>
  </si>
  <si>
    <t xml:space="preserve"> I. Нетни приходи от продажби на:</t>
  </si>
  <si>
    <t xml:space="preserve"> 1. Продукция</t>
  </si>
  <si>
    <t xml:space="preserve"> 2. Стоки</t>
  </si>
  <si>
    <t xml:space="preserve"> 3. Услуги</t>
  </si>
  <si>
    <t xml:space="preserve"> 4. Други</t>
  </si>
  <si>
    <t xml:space="preserve"> II. Приходи от финансирания</t>
  </si>
  <si>
    <t>Приходи за бъдещи периоди и финансирания</t>
  </si>
  <si>
    <t xml:space="preserve"> Разходи за придобиване на ДМА</t>
  </si>
  <si>
    <t>Ако данните изписани с червен шрифт не Ви харесват може да ги промените.</t>
  </si>
  <si>
    <t xml:space="preserve"> От менюто натиснете върху "А4_Стандарт 13" и попълнете т.17 и т. 22.</t>
  </si>
  <si>
    <t xml:space="preserve"> Ако  броя на дните не  е  изписан  коректно  това  е знак, че не сте въвели </t>
  </si>
  <si>
    <t>правилно датата в клетка А4.</t>
  </si>
  <si>
    <t>Ако искате да анализирате не текуща и предходна година, а други 2 години, примерно</t>
  </si>
  <si>
    <t>Отпечатването на първите 34 страници става от лист "Анализ", а  на  остана-</t>
  </si>
  <si>
    <t>лите 12 от лист "Диаграми".</t>
  </si>
  <si>
    <t>Средна наличност на задълженията към</t>
  </si>
  <si>
    <t>Сума на доставките</t>
  </si>
  <si>
    <t>Брой на дните в периода</t>
  </si>
  <si>
    <t>х</t>
  </si>
  <si>
    <t>доставчиците и клиенти</t>
  </si>
  <si>
    <t>Справка</t>
  </si>
  <si>
    <t>за средните наличности през текущата</t>
  </si>
  <si>
    <t xml:space="preserve"> Хил.лв.</t>
  </si>
  <si>
    <t>Дата</t>
  </si>
  <si>
    <t>Към датата</t>
  </si>
  <si>
    <t>Средна наличност</t>
  </si>
  <si>
    <t>Обща сума на активите</t>
  </si>
  <si>
    <t xml:space="preserve">Възвръщаемост   на    собствения </t>
  </si>
  <si>
    <t>капитал (1/2)</t>
  </si>
  <si>
    <t>Предходен период</t>
  </si>
  <si>
    <t xml:space="preserve"> 1. Паричните потоци, свързани с търгов-</t>
  </si>
  <si>
    <t xml:space="preserve"> ски контрагенти</t>
  </si>
  <si>
    <r>
      <t xml:space="preserve"> 2. Паричните потоци, свързани</t>
    </r>
    <r>
      <rPr>
        <sz val="8"/>
        <rFont val="Arial"/>
        <family val="2"/>
      </rPr>
      <t xml:space="preserve"> с </t>
    </r>
    <r>
      <rPr>
        <sz val="7"/>
        <rFont val="Arial"/>
        <family val="2"/>
      </rPr>
      <t>краткосрочни</t>
    </r>
  </si>
  <si>
    <t xml:space="preserve"> 4. Паричните потоци, свързани с лихви,</t>
  </si>
  <si>
    <t xml:space="preserve"> 5. Паричните потоци от положителни и </t>
  </si>
  <si>
    <t xml:space="preserve"> 6. Платени и възстановени данъци</t>
  </si>
  <si>
    <t xml:space="preserve"> финансови активи, държани за търгов. цели</t>
  </si>
  <si>
    <t xml:space="preserve"> възнаграждения</t>
  </si>
  <si>
    <t xml:space="preserve"> комисиони, дивиденти и други подобни</t>
  </si>
  <si>
    <t xml:space="preserve"> 2. Вземания от клиенти и доставчици</t>
  </si>
  <si>
    <t xml:space="preserve"> 4. Съдебни и присъдени вземания</t>
  </si>
  <si>
    <t xml:space="preserve"> 5. Данъци за възстановяване</t>
  </si>
  <si>
    <t xml:space="preserve"> 6. Други краткосрочни вземания</t>
  </si>
  <si>
    <t xml:space="preserve"> III. Краткосрочни финансови активи</t>
  </si>
  <si>
    <t xml:space="preserve"> 3. Краткосрочни ценни книжа</t>
  </si>
  <si>
    <t xml:space="preserve"> IV. Парични средства</t>
  </si>
  <si>
    <t xml:space="preserve"> 1. Парични средства в брой</t>
  </si>
  <si>
    <t xml:space="preserve"> 3. Блокирани парични средства</t>
  </si>
  <si>
    <t xml:space="preserve"> 4. Парични еквиваленти</t>
  </si>
  <si>
    <t xml:space="preserve">Общо за група IV : </t>
  </si>
  <si>
    <t xml:space="preserve">Общо за раздел Б : </t>
  </si>
  <si>
    <t xml:space="preserve"> I. Краткосрочни задължения</t>
  </si>
  <si>
    <t xml:space="preserve">   в  т.ч. :   към банки</t>
  </si>
  <si>
    <r>
      <t>Финансов анализ  на  мениджърски, оздравителни програми</t>
    </r>
    <r>
      <rPr>
        <sz val="11"/>
        <rFont val="Arial Cyr"/>
        <family val="2"/>
      </rPr>
      <t xml:space="preserve"> и отчети за 3, 4 </t>
    </r>
    <r>
      <rPr>
        <sz val="11"/>
        <color indexed="10"/>
        <rFont val="Arial Cyr"/>
        <family val="2"/>
      </rPr>
      <t>или</t>
    </r>
    <r>
      <rPr>
        <sz val="11"/>
        <rFont val="Arial Cyr"/>
        <family val="2"/>
      </rPr>
      <t xml:space="preserve"> 5 год. период - на база на информация от баланси и отчети за приходите и разходите редактира автоматизирано текстови коментар, таблици  и диаграми  в  размер  на  40 стр.</t>
    </r>
  </si>
  <si>
    <t xml:space="preserve">       В   резултат   на</t>
  </si>
  <si>
    <t>на парич-</t>
  </si>
  <si>
    <t>ни средства  в  размер  на</t>
  </si>
  <si>
    <t xml:space="preserve"> хил. лева.</t>
  </si>
  <si>
    <t xml:space="preserve">       Анализирайки паричните потоци по техните дългосрочни и краткосрочни позиции,</t>
  </si>
  <si>
    <t>респективно увеличенията и намаленията на активите и пасивите можем да определим  със</t>
  </si>
  <si>
    <r>
      <t xml:space="preserve"> функцията  </t>
    </r>
    <r>
      <rPr>
        <b/>
        <sz val="11"/>
        <rFont val="Arial Cyr"/>
        <family val="2"/>
      </rPr>
      <t>Analysis ToolPak</t>
    </r>
    <r>
      <rPr>
        <sz val="11"/>
        <rFont val="Arial Cyr"/>
        <family val="2"/>
      </rPr>
      <t xml:space="preserve"> ( Tools, Add-Ins...,            Analysis ToolPak, OK)  и</t>
    </r>
  </si>
  <si>
    <t xml:space="preserve"> натиснете функционалния клавиш F9.</t>
  </si>
  <si>
    <t>за средните наличности през предходната</t>
  </si>
  <si>
    <t>Средна наличност на материалните запаси</t>
  </si>
  <si>
    <t>Задължения към доставчици и клиенти</t>
  </si>
  <si>
    <t>Задължения към достав-чици и клиенти</t>
  </si>
  <si>
    <t xml:space="preserve">За периода: </t>
  </si>
  <si>
    <t>и доставчици по тяхната отчетна стойност</t>
  </si>
  <si>
    <t xml:space="preserve">     б) вземанията от финансова дейност</t>
  </si>
  <si>
    <t>Дължими   лихви   по   кредити, лизинги   и</t>
  </si>
  <si>
    <t>погасителни фондове</t>
  </si>
  <si>
    <t>ВВ</t>
  </si>
  <si>
    <t>ВВВ</t>
  </si>
  <si>
    <t>АА</t>
  </si>
  <si>
    <t>ААА</t>
  </si>
  <si>
    <t>на капитала</t>
  </si>
  <si>
    <t>към задължения</t>
  </si>
  <si>
    <t>общо покритие</t>
  </si>
  <si>
    <t>гория</t>
  </si>
  <si>
    <t>Възвръщаемост</t>
  </si>
  <si>
    <t>Коефициент на</t>
  </si>
  <si>
    <t>Кате-</t>
  </si>
  <si>
    <t>Кредитен рейтинг</t>
  </si>
  <si>
    <t>Парични наличности</t>
  </si>
  <si>
    <t>Дългосрочни задъл-</t>
  </si>
  <si>
    <t>жения към капитала</t>
  </si>
  <si>
    <r>
      <t>Печалба преди лихви и данъци (</t>
    </r>
    <r>
      <rPr>
        <b/>
        <sz val="11"/>
        <rFont val="Arial Cyr"/>
        <family val="0"/>
      </rPr>
      <t>EBIT</t>
    </r>
    <r>
      <rPr>
        <sz val="11"/>
        <rFont val="Arial Cyr"/>
        <family val="2"/>
      </rPr>
      <t>)</t>
    </r>
  </si>
  <si>
    <t>Възвръщаемост на капитала             (1/11)</t>
  </si>
  <si>
    <t>Дългосрочни задължения към капитала   (9/11)</t>
  </si>
  <si>
    <t>Покритие на краткосрочните задълнения с</t>
  </si>
  <si>
    <r>
      <t xml:space="preserve">на собствения капитал (3/10)         </t>
    </r>
    <r>
      <rPr>
        <b/>
        <sz val="12"/>
        <rFont val="Arial Cyr"/>
        <family val="2"/>
      </rPr>
      <t>&gt;=15%</t>
    </r>
  </si>
  <si>
    <t>A5_Средни_наличности</t>
  </si>
  <si>
    <t>A6_Доп_информация</t>
  </si>
  <si>
    <t>A7_Заглавна_страница</t>
  </si>
  <si>
    <t>A8_Стр_2_25</t>
  </si>
  <si>
    <t>A8a_Фирмен_банкрут</t>
  </si>
  <si>
    <t>Copy_Баланс_пп</t>
  </si>
  <si>
    <t>Copy_ОПР_пп</t>
  </si>
  <si>
    <t>Print_Area</t>
  </si>
  <si>
    <t>Данни_диаграми</t>
  </si>
  <si>
    <t>Динамика</t>
  </si>
  <si>
    <t>Дълга_на_фирмата</t>
  </si>
  <si>
    <t>Коефициенти</t>
  </si>
  <si>
    <t>Кредитополучател</t>
  </si>
  <si>
    <t>Ликвидност</t>
  </si>
  <si>
    <t>Парични_потоци</t>
  </si>
  <si>
    <t>Печалба_рентабилност</t>
  </si>
  <si>
    <t>Собственост_капиталива_структура</t>
  </si>
  <si>
    <t>Структура</t>
  </si>
  <si>
    <t>Финансово_равновесие</t>
  </si>
  <si>
    <t>A99_Таблица_с_имена</t>
  </si>
  <si>
    <t>А н а л и з</t>
  </si>
  <si>
    <t xml:space="preserve"> Дълготрайни материални активи (ДМА)</t>
  </si>
  <si>
    <t xml:space="preserve">  Земи (терени)</t>
  </si>
  <si>
    <t xml:space="preserve"> Сгради и конструкции</t>
  </si>
  <si>
    <t xml:space="preserve">  Машини и оборудване</t>
  </si>
  <si>
    <t xml:space="preserve"> Съоръжения</t>
  </si>
  <si>
    <t xml:space="preserve"> Транспортни средства</t>
  </si>
  <si>
    <t xml:space="preserve"> Дълготрайни нематериални активи</t>
  </si>
  <si>
    <t xml:space="preserve"> Права върху собственост</t>
  </si>
  <si>
    <t xml:space="preserve"> Програмни продукти</t>
  </si>
  <si>
    <t xml:space="preserve"> Продукти от развойна дейност</t>
  </si>
  <si>
    <t>реализира    доходи.   Рентабилността    се    изчислява     чрез    система   от   показатели,</t>
  </si>
  <si>
    <t>разходи  или  използувани  активи.</t>
  </si>
  <si>
    <t xml:space="preserve">Дългосрочни пасиви </t>
  </si>
  <si>
    <t xml:space="preserve">Дълготрайни активи  </t>
  </si>
  <si>
    <t xml:space="preserve">Краткотрайни активи </t>
  </si>
  <si>
    <t xml:space="preserve">Краткосрочни пасиви </t>
  </si>
  <si>
    <t xml:space="preserve">Разходи за обичайната дейност </t>
  </si>
  <si>
    <t>Забележка: Тази услуга се извършва само в офиса на фирма "Дайк".</t>
  </si>
  <si>
    <t xml:space="preserve">Дата на съставяне: </t>
  </si>
  <si>
    <t>случаи и на дългосрочни кредити.</t>
  </si>
  <si>
    <t xml:space="preserve">  Постъпления от инвестиционна дейност</t>
  </si>
  <si>
    <t xml:space="preserve">  Плащания за инвестиционна дейност</t>
  </si>
  <si>
    <t xml:space="preserve">         Дава необходимата информация за анализ на инвестиционната  актив-</t>
  </si>
  <si>
    <t>ност на фирмата. Установяват се конкретните парични ефекти от  водената</t>
  </si>
  <si>
    <t xml:space="preserve">   краткосрочните</t>
  </si>
  <si>
    <t>хил. лв.,  което   е</t>
  </si>
  <si>
    <t>Кредитен рейтинг на</t>
  </si>
  <si>
    <t>сметка   за   акционерите   на   фирмата   е   интересен   чистият   финансов  резултат  и    в</t>
  </si>
  <si>
    <t xml:space="preserve">          Съставител:                                               Ръководител:</t>
  </si>
  <si>
    <t xml:space="preserve">          Съставител:                                                                      Ръководител:</t>
  </si>
  <si>
    <t>Съставител:</t>
  </si>
  <si>
    <t>и   изтичане  на  парични  средства.  Той  трябва  да  се   разбира   не   като   наличност   на</t>
  </si>
  <si>
    <t>Ръководител:</t>
  </si>
  <si>
    <t xml:space="preserve">Всичко (Г + Е)  </t>
  </si>
  <si>
    <t>Отрицателна репутация</t>
  </si>
  <si>
    <t>Други</t>
  </si>
  <si>
    <t>Финансов резултат</t>
  </si>
  <si>
    <t>Печалба</t>
  </si>
  <si>
    <t>Загуба</t>
  </si>
  <si>
    <t xml:space="preserve"> Б. ДЪЛГОСРОЧНИ ПАСИВИ</t>
  </si>
  <si>
    <t xml:space="preserve">   в т. ч.  дивиденти</t>
  </si>
  <si>
    <t xml:space="preserve"> </t>
  </si>
  <si>
    <r>
      <t xml:space="preserve"> Дял на загубата на асоциирани</t>
    </r>
    <r>
      <rPr>
        <sz val="10"/>
        <rFont val="Arial"/>
        <family val="2"/>
      </rPr>
      <t xml:space="preserve"> и съвместни предприятия</t>
    </r>
  </si>
  <si>
    <t>2-1811-1</t>
  </si>
  <si>
    <t xml:space="preserve"> СЧЕТОВОДНА ЗАГУБА (преди облагане с данъци)</t>
  </si>
  <si>
    <r>
      <t xml:space="preserve"> ЗАГУБА (Д + </t>
    </r>
    <r>
      <rPr>
        <sz val="11"/>
        <rFont val="Arial"/>
        <family val="2"/>
      </rPr>
      <t>данъци</t>
    </r>
    <r>
      <rPr>
        <sz val="10"/>
        <rFont val="Arial"/>
        <family val="0"/>
      </rPr>
      <t>) - след облагане с данъци</t>
    </r>
  </si>
  <si>
    <t xml:space="preserve"> НЕТНА ЗАГУБА ЗА ПЕРИОДА</t>
  </si>
  <si>
    <r>
      <t>преди   облагане   с   данъци   и   нетните   продажби   (</t>
    </r>
    <r>
      <rPr>
        <b/>
        <u val="single"/>
        <sz val="11"/>
        <rFont val="Arial Cyr"/>
        <family val="2"/>
      </rPr>
      <t>обща  рентабилност</t>
    </r>
    <r>
      <rPr>
        <sz val="11"/>
        <rFont val="Arial Cyr"/>
        <family val="2"/>
      </rPr>
      <t>)   е</t>
    </r>
  </si>
  <si>
    <t>при</t>
  </si>
  <si>
    <t>през   базисния   период,  или   с</t>
  </si>
  <si>
    <r>
      <t xml:space="preserve"> 4. </t>
    </r>
    <r>
      <rPr>
        <sz val="10"/>
        <rFont val="Arial"/>
        <family val="2"/>
      </rPr>
      <t>Благородни</t>
    </r>
    <r>
      <rPr>
        <sz val="9"/>
        <rFont val="Arial"/>
        <family val="2"/>
      </rPr>
      <t xml:space="preserve"> метали и скъпоценни камъни</t>
    </r>
  </si>
  <si>
    <r>
      <t xml:space="preserve">капитал (5/12)                              </t>
    </r>
    <r>
      <rPr>
        <b/>
        <sz val="11"/>
        <rFont val="Arial Cyr"/>
        <family val="2"/>
      </rPr>
      <t>=65-70%</t>
    </r>
  </si>
  <si>
    <r>
      <t xml:space="preserve">Капиталова структура (12/5)     </t>
    </r>
    <r>
      <rPr>
        <b/>
        <sz val="11"/>
        <rFont val="Arial Cyr"/>
        <family val="2"/>
      </rPr>
      <t>=30-35%</t>
    </r>
  </si>
  <si>
    <t>Коефициенти за предполагане на банкрут</t>
  </si>
  <si>
    <r>
      <t>т.1/т.2а = Х</t>
    </r>
    <r>
      <rPr>
        <sz val="10"/>
        <rFont val="Arial Cyr"/>
        <family val="2"/>
      </rPr>
      <t>1</t>
    </r>
  </si>
  <si>
    <r>
      <t>т.3/т.2а = Х</t>
    </r>
    <r>
      <rPr>
        <sz val="10"/>
        <rFont val="Arial Cyr"/>
        <family val="2"/>
      </rPr>
      <t>2</t>
    </r>
  </si>
  <si>
    <r>
      <t>т.4/т.2а = Х</t>
    </r>
    <r>
      <rPr>
        <sz val="10"/>
        <rFont val="Arial Cyr"/>
        <family val="2"/>
      </rPr>
      <t>3</t>
    </r>
  </si>
  <si>
    <r>
      <t>т.5/т.7   = Х</t>
    </r>
    <r>
      <rPr>
        <sz val="10"/>
        <rFont val="Arial Cyr"/>
        <family val="2"/>
      </rPr>
      <t>4</t>
    </r>
  </si>
  <si>
    <r>
      <t>т.6/т.2а = Х</t>
    </r>
    <r>
      <rPr>
        <sz val="10"/>
        <rFont val="Arial Cyr"/>
        <family val="2"/>
      </rPr>
      <t>5</t>
    </r>
  </si>
  <si>
    <t>Точка на банкрута                                      &gt;=3</t>
  </si>
  <si>
    <r>
      <t>(1.2Х</t>
    </r>
    <r>
      <rPr>
        <sz val="8"/>
        <rFont val="Arial Cyr"/>
        <family val="2"/>
      </rPr>
      <t>1</t>
    </r>
    <r>
      <rPr>
        <sz val="11"/>
        <rFont val="Arial Cyr"/>
        <family val="2"/>
      </rPr>
      <t>+1.4Х</t>
    </r>
    <r>
      <rPr>
        <sz val="8"/>
        <rFont val="Arial Cyr"/>
        <family val="2"/>
      </rPr>
      <t>2</t>
    </r>
    <r>
      <rPr>
        <sz val="11"/>
        <rFont val="Arial Cyr"/>
        <family val="2"/>
      </rPr>
      <t>+3.3Х</t>
    </r>
    <r>
      <rPr>
        <sz val="8"/>
        <rFont val="Arial Cyr"/>
        <family val="2"/>
      </rPr>
      <t>3</t>
    </r>
    <r>
      <rPr>
        <sz val="11"/>
        <rFont val="Arial Cyr"/>
        <family val="2"/>
      </rPr>
      <t>+0.6Х</t>
    </r>
    <r>
      <rPr>
        <sz val="8"/>
        <rFont val="Arial Cyr"/>
        <family val="2"/>
      </rPr>
      <t>4</t>
    </r>
    <r>
      <rPr>
        <sz val="11"/>
        <rFont val="Arial Cyr"/>
        <family val="2"/>
      </rPr>
      <t>+0.999Х</t>
    </r>
    <r>
      <rPr>
        <sz val="8"/>
        <rFont val="Arial Cyr"/>
        <family val="2"/>
      </rPr>
      <t>5</t>
    </r>
    <r>
      <rPr>
        <sz val="11"/>
        <rFont val="Arial Cyr"/>
        <family val="2"/>
      </rPr>
      <t>)</t>
    </r>
  </si>
  <si>
    <r>
      <t xml:space="preserve"> 5. Други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краткосрочни</t>
    </r>
    <r>
      <rPr>
        <sz val="10"/>
        <rFont val="Arial"/>
        <family val="2"/>
      </rPr>
      <t xml:space="preserve"> финансови активи</t>
    </r>
  </si>
  <si>
    <r>
      <t xml:space="preserve"> 2. Парични</t>
    </r>
    <r>
      <rPr>
        <sz val="10"/>
        <rFont val="Arial"/>
        <family val="2"/>
      </rPr>
      <t xml:space="preserve"> средства в безсрочни депозити</t>
    </r>
  </si>
  <si>
    <t>инвестиционна политика. Могат да се правят конкретни  изводи  за  бизнес-</t>
  </si>
  <si>
    <t>дълготрайни  материални   активи   което   е   с</t>
  </si>
  <si>
    <t xml:space="preserve">     Всеки     лев    платени    лихви    се    покрива   от</t>
  </si>
  <si>
    <t>лева  доход преди</t>
  </si>
  <si>
    <t>плащане   на   лихви    и    данъци,   което   е    с</t>
  </si>
  <si>
    <t xml:space="preserve">     Отношението   между   чуждия   и   собствен  (акционерен)  капитал  е   своеобраз-</t>
  </si>
  <si>
    <t>но  средство   за   въздействие   на   акционерите,  които  държат  контролния  пакет  акции</t>
  </si>
  <si>
    <t>предоставяне на дългосрочни кредити.</t>
  </si>
  <si>
    <t xml:space="preserve">  Постъпления от финансова дейност</t>
  </si>
  <si>
    <t xml:space="preserve">  Плащания за финансова дейност</t>
  </si>
  <si>
    <t>А. ПАРИЧНИ ПОТОЦИ ОТ ОСНОВНА ДЕЙНОСТ</t>
  </si>
  <si>
    <t>Текущ период</t>
  </si>
  <si>
    <t>постъп-</t>
  </si>
  <si>
    <t>ления</t>
  </si>
  <si>
    <t>плаща-</t>
  </si>
  <si>
    <t>ния</t>
  </si>
  <si>
    <t>нетен</t>
  </si>
  <si>
    <t>поток</t>
  </si>
  <si>
    <t>на</t>
  </si>
  <si>
    <t>паричните потоци</t>
  </si>
  <si>
    <t>Ръководство за работа с програма "Финансов анализ"</t>
  </si>
  <si>
    <t>С ъ д ъ р ж а н и е:</t>
  </si>
  <si>
    <t xml:space="preserve"> Ръководство  за  работа  с  програмния  продукт</t>
  </si>
  <si>
    <t xml:space="preserve"> 2. Парични потоци от допълнителни вно-</t>
  </si>
  <si>
    <t xml:space="preserve"> ски и връщането им на собствениците</t>
  </si>
  <si>
    <t xml:space="preserve"> 3. Парични потоци, свързани с получени</t>
  </si>
  <si>
    <t xml:space="preserve"> или предоставени заеми</t>
  </si>
  <si>
    <t xml:space="preserve"> 5. Плащания на задължения по лизин-</t>
  </si>
  <si>
    <t>татите от оперативното управление на фирмата.Тенденциите в оперативния</t>
  </si>
  <si>
    <t>паричен поток са определящи за финансовото здраве на фирмата и форми-</t>
  </si>
  <si>
    <t>рат  становището  на  банките  за  отпускане  на  краткосрочни,  а  в  някой</t>
  </si>
  <si>
    <t>за  отпускане  на  краткосрочни,  а  в  някой случай и на дългосрочни кредити.</t>
  </si>
  <si>
    <t>паричен  поток  от  оперативна  дейност. От  това  може  да  се</t>
  </si>
  <si>
    <t>използването   на   краткотрайните   активи. Това  е  синтезиран  израз  на  резултатите  от</t>
  </si>
  <si>
    <t>оперативното   управление  на  фирмата.  Тенденциите  в  оперативния  паричен  поток   са</t>
  </si>
  <si>
    <t>определящи  за  финансовото  здраве  на  фирмата  и  формират  становището  на  банките</t>
  </si>
  <si>
    <t>направи извод,</t>
  </si>
  <si>
    <t>Направената диагностика  за  възможността  от  банкрут   показва:</t>
  </si>
  <si>
    <t xml:space="preserve">     Факторите,     оказали      влияние      за </t>
  </si>
  <si>
    <t>Дългосрочни задължения</t>
  </si>
  <si>
    <t>4</t>
  </si>
  <si>
    <t>Общ размер на активите (капитал вс.)</t>
  </si>
  <si>
    <t>5</t>
  </si>
  <si>
    <t>6</t>
  </si>
  <si>
    <t>7</t>
  </si>
  <si>
    <t>8</t>
  </si>
  <si>
    <t>Други задължения</t>
  </si>
  <si>
    <t>Външни дългосрочни задължения   (7+8+9)</t>
  </si>
  <si>
    <t>Доход преди плащане на лихви и данъци</t>
  </si>
  <si>
    <t>Разходи за лихви</t>
  </si>
  <si>
    <t>Разходи за дейността</t>
  </si>
  <si>
    <t>Коеф. на задлъжнялост                        (3/4)</t>
  </si>
  <si>
    <t xml:space="preserve"> жби за анализирания период</t>
  </si>
  <si>
    <t xml:space="preserve">    д) други активи и пасиви от инвестиционна дейност</t>
  </si>
  <si>
    <t xml:space="preserve">     а) дълготрайните активи</t>
  </si>
  <si>
    <t>Наименования на паричните потоци</t>
  </si>
  <si>
    <t xml:space="preserve">Задължения към свързани предприятия </t>
  </si>
  <si>
    <t>Покритие на дългосрочните задълнения с</t>
  </si>
  <si>
    <t>Показатели за структурата в</t>
  </si>
  <si>
    <t>баланса (само ако всички клетки в таблицата са нулеви).</t>
  </si>
  <si>
    <t>Изчисленията от таблицата автоматично ще се запишат в съответната година.</t>
  </si>
  <si>
    <t>7.</t>
  </si>
  <si>
    <t>Възвръщаемост   на   общия   капиталов</t>
  </si>
  <si>
    <t>ресурс (1/3)</t>
  </si>
  <si>
    <t>Нетен размер на приходите от продажби</t>
  </si>
  <si>
    <t>Дълготрайни  активи</t>
  </si>
  <si>
    <t>Обръщаемост на общите активи   (1/2)</t>
  </si>
  <si>
    <t>Обръщаемост на дълготр. активи  (1/3)</t>
  </si>
  <si>
    <t xml:space="preserve">     През    анализирания   период   1  лев     от    дълготрайните     материални     активи</t>
  </si>
  <si>
    <t>се  покрива    с</t>
  </si>
  <si>
    <t>Неохим, Химимпорт, Свилоза, Пластхим, БДЖ, Кремиковци, КЦМ, Стомана, ДЗУ, Мадара, к.к."Албена", Елкабел,</t>
  </si>
  <si>
    <t>Ален мак,  Литекс комерс,  Млечен път,  Бони оборот,  Девня цимент, Софийски имоти, Електроника, Софарма,</t>
  </si>
  <si>
    <t>Агрополихим, Параходство "БРП", БМФ, Марица изток, Марбас, Сънитекс, Марицатекс, Фазан, Мануела, Победа,</t>
  </si>
  <si>
    <t xml:space="preserve">                     - вземания по финансов лизинг</t>
  </si>
  <si>
    <t>1-0046-1</t>
  </si>
  <si>
    <t>Коеф. на  покриване  на  дълготрайните</t>
  </si>
  <si>
    <r>
      <t xml:space="preserve"> През  анализирания  период   </t>
    </r>
    <r>
      <rPr>
        <b/>
        <u val="single"/>
        <sz val="11"/>
        <rFont val="Arial Cyr"/>
        <family val="2"/>
      </rPr>
      <t>общият  капиталов  ресурс</t>
    </r>
    <r>
      <rPr>
        <sz val="11"/>
        <rFont val="Arial Cyr"/>
        <family val="2"/>
      </rPr>
      <t xml:space="preserve">   възлиза   на</t>
    </r>
  </si>
  <si>
    <t>х.лв.  От тях</t>
  </si>
  <si>
    <t>х.лв. или</t>
  </si>
  <si>
    <t>е   собствен   капитал   и</t>
  </si>
  <si>
    <t>х.лв.      или</t>
  </si>
  <si>
    <t xml:space="preserve"> А. ДЪЛГОТРАЙНИ (ДЪЛГОСРОЧНИ) АКТИВИ</t>
  </si>
  <si>
    <t>материалните запаси</t>
  </si>
  <si>
    <r>
      <t>краткосрочните</t>
    </r>
    <r>
      <rPr>
        <sz val="10"/>
        <rFont val="Arial Cyr"/>
        <family val="0"/>
      </rPr>
      <t xml:space="preserve"> финансови активи</t>
    </r>
  </si>
  <si>
    <t>следните изводи:</t>
  </si>
  <si>
    <r>
      <t xml:space="preserve">     На база на информацията от баланса  и ОПР на фирмата (</t>
    </r>
    <r>
      <rPr>
        <b/>
        <sz val="11"/>
        <rFont val="Arial Cyr"/>
        <family val="2"/>
      </rPr>
      <t>косвен метод</t>
    </r>
    <r>
      <rPr>
        <sz val="11"/>
        <rFont val="Arial Cyr"/>
        <family val="2"/>
      </rPr>
      <t xml:space="preserve"> за предс-</t>
    </r>
  </si>
  <si>
    <t>тавяне на паричните потоци) можем да проследим основните парични потоци и да направим</t>
  </si>
  <si>
    <r>
      <t xml:space="preserve">за паричните потоци </t>
    </r>
    <r>
      <rPr>
        <b/>
        <sz val="11"/>
        <rFont val="Arial Cyr"/>
        <family val="0"/>
      </rPr>
      <t>по косвения метод</t>
    </r>
  </si>
  <si>
    <r>
      <t xml:space="preserve">за паричните потоци </t>
    </r>
    <r>
      <rPr>
        <b/>
        <sz val="11"/>
        <rFont val="Arial Cyr"/>
        <family val="0"/>
      </rPr>
      <t>по прекия метод</t>
    </r>
  </si>
  <si>
    <r>
      <t xml:space="preserve"> Нетен паричен поток от основна дейност (</t>
    </r>
    <r>
      <rPr>
        <b/>
        <sz val="11"/>
        <rFont val="Arial"/>
        <family val="2"/>
      </rPr>
      <t>А</t>
    </r>
    <r>
      <rPr>
        <sz val="11"/>
        <rFont val="Arial"/>
        <family val="0"/>
      </rPr>
      <t xml:space="preserve">)   </t>
    </r>
  </si>
  <si>
    <r>
      <t xml:space="preserve">Нетен оборотен </t>
    </r>
    <r>
      <rPr>
        <b/>
        <sz val="11"/>
        <rFont val="Arial Cyr"/>
        <family val="0"/>
      </rPr>
      <t>(работен)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капитал</t>
    </r>
    <r>
      <rPr>
        <sz val="11"/>
        <rFont val="Arial Cyr"/>
        <family val="2"/>
      </rPr>
      <t xml:space="preserve"> (9-10)</t>
    </r>
  </si>
  <si>
    <r>
      <t xml:space="preserve">оборотен   </t>
    </r>
    <r>
      <rPr>
        <sz val="11"/>
        <rFont val="Arial Cyr"/>
        <family val="0"/>
      </rPr>
      <t>капитал   в    размер   на</t>
    </r>
  </si>
  <si>
    <r>
      <t xml:space="preserve">     </t>
    </r>
    <r>
      <rPr>
        <b/>
        <u val="single"/>
        <sz val="11"/>
        <rFont val="Arial Cyr"/>
        <family val="2"/>
      </rPr>
      <t>Платежоспособността  на  фирмата</t>
    </r>
    <r>
      <rPr>
        <sz val="11"/>
        <rFont val="Arial Cyr"/>
        <family val="2"/>
      </rPr>
      <t xml:space="preserve">   измерена   в   коефициент  от  отношението</t>
    </r>
  </si>
  <si>
    <t>на  сбора получен от краткосрочните вземания, краткосрочните финансови активи и парич-</t>
  </si>
  <si>
    <t xml:space="preserve"> Диагностика за възможността от банкрут на фирмата</t>
  </si>
  <si>
    <t>си   задължения    чрез   краткосрочни    финансови    активи,   парични   средства   и   техни</t>
  </si>
  <si>
    <t>Коеф. на покриване на дългосрочните</t>
  </si>
  <si>
    <t xml:space="preserve"> Записан и внесен капитал, в т.ч.:</t>
  </si>
  <si>
    <t>1-0411</t>
  </si>
  <si>
    <t xml:space="preserve">           - обикновени акции</t>
  </si>
  <si>
    <t>1-0411-1</t>
  </si>
  <si>
    <t xml:space="preserve">           - привилегировани акции</t>
  </si>
  <si>
    <t>1-0411-2</t>
  </si>
  <si>
    <t xml:space="preserve"> за  финансова  дейност.</t>
  </si>
  <si>
    <t>Хил. лв:</t>
  </si>
  <si>
    <t>Финансова рентабилност                  (13/5)</t>
  </si>
  <si>
    <t>Съотношение между чужд и собствен</t>
  </si>
  <si>
    <t>капитал                                                  (6/5)</t>
  </si>
  <si>
    <t>Краткотрайни активи - относителен дял към активите</t>
  </si>
  <si>
    <t>Погасяване на дълг. заеми</t>
  </si>
  <si>
    <r>
      <t>Гиринг, лийвъридж (3/(3+5)</t>
    </r>
    <r>
      <rPr>
        <sz val="9"/>
        <rFont val="Arial Cyr"/>
        <family val="2"/>
      </rPr>
      <t xml:space="preserve"> (...по пазарна с/т)   </t>
    </r>
    <r>
      <rPr>
        <b/>
        <sz val="9"/>
        <rFont val="Arial Cyr"/>
        <family val="2"/>
      </rPr>
      <t>&lt;0.3</t>
    </r>
  </si>
  <si>
    <t>Изходящите  към  входящите краткосрочни  парични</t>
  </si>
  <si>
    <t>потоци (Г / Б)</t>
  </si>
  <si>
    <t xml:space="preserve">= 100 - 105% </t>
  </si>
  <si>
    <t>Дългосрочни    към    краткосрочни    източници    на</t>
  </si>
  <si>
    <t>Преобразуване, обобщаване и консолидиране на  разчети и отчети.</t>
  </si>
  <si>
    <t>Бизнес справочници, лихви, калкулация, себестойност, речник за Windows, Internet и Excel .</t>
  </si>
  <si>
    <r>
      <t>TEL</t>
    </r>
    <r>
      <rPr>
        <sz val="11"/>
        <rFont val="Arial Cyr"/>
        <family val="2"/>
      </rPr>
      <t>/</t>
    </r>
    <r>
      <rPr>
        <b/>
        <sz val="11"/>
        <rFont val="Arial Cyr"/>
        <family val="0"/>
      </rPr>
      <t>FAX</t>
    </r>
    <r>
      <rPr>
        <sz val="11"/>
        <rFont val="Arial Cyr"/>
        <family val="2"/>
      </rPr>
      <t xml:space="preserve">:  032/ 25 30 60   </t>
    </r>
    <r>
      <rPr>
        <b/>
        <sz val="12"/>
        <rFont val="Arial Cyr"/>
        <family val="2"/>
      </rPr>
      <t>Георги Мичев</t>
    </r>
    <r>
      <rPr>
        <sz val="11"/>
        <rFont val="Arial Cyr"/>
        <family val="2"/>
      </rPr>
      <t xml:space="preserve"> - ръководител</t>
    </r>
  </si>
  <si>
    <r>
      <t>GSM</t>
    </r>
    <r>
      <rPr>
        <sz val="11"/>
        <rFont val="Arial Cyr"/>
        <family val="2"/>
      </rPr>
      <t xml:space="preserve">: 088 72 72 248   </t>
    </r>
    <r>
      <rPr>
        <b/>
        <sz val="11"/>
        <rFont val="Arial Cyr"/>
        <family val="0"/>
      </rPr>
      <t xml:space="preserve"> ICQ</t>
    </r>
    <r>
      <rPr>
        <sz val="11"/>
        <rFont val="Arial Cyr"/>
        <family val="2"/>
      </rPr>
      <t xml:space="preserve">: 338172185    </t>
    </r>
    <r>
      <rPr>
        <b/>
        <sz val="11"/>
        <rFont val="Arial Cyr"/>
        <family val="0"/>
      </rPr>
      <t>E-mail</t>
    </r>
    <r>
      <rPr>
        <sz val="11"/>
        <rFont val="Arial Cyr"/>
        <family val="2"/>
      </rPr>
      <t xml:space="preserve">: </t>
    </r>
    <r>
      <rPr>
        <u val="single"/>
        <sz val="11"/>
        <color indexed="12"/>
        <rFont val="Arial Cyr"/>
        <family val="0"/>
      </rPr>
      <t>michev@evrocom.net</t>
    </r>
    <r>
      <rPr>
        <sz val="11"/>
        <rFont val="Arial Cyr"/>
        <family val="2"/>
      </rPr>
      <t xml:space="preserve">     </t>
    </r>
    <r>
      <rPr>
        <b/>
        <sz val="11"/>
        <rFont val="Arial Cyr"/>
        <family val="0"/>
      </rPr>
      <t>Web</t>
    </r>
    <r>
      <rPr>
        <sz val="11"/>
        <rFont val="Arial Cyr"/>
        <family val="2"/>
      </rPr>
      <t xml:space="preserve">: </t>
    </r>
    <r>
      <rPr>
        <u val="single"/>
        <sz val="11"/>
        <color indexed="12"/>
        <rFont val="Arial Cyr"/>
        <family val="0"/>
      </rPr>
      <t>www.daik.dir.bg</t>
    </r>
  </si>
  <si>
    <t>Офертни цени</t>
  </si>
  <si>
    <t xml:space="preserve"> на</t>
  </si>
  <si>
    <t>програмни продукти</t>
  </si>
  <si>
    <t>услуги</t>
  </si>
  <si>
    <t>Наименование на програмата</t>
  </si>
  <si>
    <r>
      <t xml:space="preserve">     </t>
    </r>
    <r>
      <rPr>
        <b/>
        <u val="single"/>
        <sz val="11"/>
        <rFont val="Arial Cyr"/>
        <family val="2"/>
      </rPr>
      <t>Финансовият   резултат    преди    данъчно   облагане</t>
    </r>
    <r>
      <rPr>
        <sz val="11"/>
        <rFont val="Arial Cyr"/>
        <family val="2"/>
      </rPr>
      <t xml:space="preserve">     за     същия      период</t>
    </r>
  </si>
  <si>
    <t xml:space="preserve"> в  срав-</t>
  </si>
  <si>
    <t>период       е</t>
  </si>
  <si>
    <r>
      <t>рентабилност</t>
    </r>
    <r>
      <rPr>
        <b/>
        <sz val="11"/>
        <rFont val="Arial Cyr"/>
        <family val="2"/>
      </rPr>
      <t xml:space="preserve">)        </t>
    </r>
    <r>
      <rPr>
        <sz val="11"/>
        <rFont val="Arial Cyr"/>
        <family val="2"/>
      </rPr>
      <t xml:space="preserve"> е</t>
    </r>
  </si>
  <si>
    <t xml:space="preserve">    д) други активи и пасиви от финансова дейност</t>
  </si>
  <si>
    <t xml:space="preserve"> 3. Плащания на задължения по лизингови договори</t>
  </si>
  <si>
    <r>
      <t xml:space="preserve"> Г. ИЗМЕНЕНИЕ НА </t>
    </r>
    <r>
      <rPr>
        <sz val="9"/>
        <rFont val="Arial"/>
        <family val="2"/>
      </rPr>
      <t>ПАРИЧНИТЕ СРЕДСТВА ПРЕЗ ПЕРИОДА</t>
    </r>
    <r>
      <rPr>
        <sz val="10"/>
        <rFont val="Arial"/>
        <family val="0"/>
      </rPr>
      <t xml:space="preserve"> ( А+Б+В)</t>
    </r>
  </si>
  <si>
    <t xml:space="preserve"> Д. ПАРИЧНИ СРЕДСТВА В НАЧАЛОТО НА ПЕРИОДА</t>
  </si>
  <si>
    <t xml:space="preserve"> Е. ПАРИЧНИ СРЕДСТВА В КРАЯ НА ПЕРИОДА</t>
  </si>
  <si>
    <t xml:space="preserve">     а) финансовите (дългосрочни и краткосрочни) активи</t>
  </si>
  <si>
    <r>
      <t xml:space="preserve"> Нетен паричен поток от инвестиционна дейност (</t>
    </r>
    <r>
      <rPr>
        <b/>
        <sz val="11"/>
        <rFont val="Arial"/>
        <family val="2"/>
      </rPr>
      <t>Б</t>
    </r>
    <r>
      <rPr>
        <sz val="11"/>
        <rFont val="Arial"/>
        <family val="0"/>
      </rPr>
      <t xml:space="preserve">)  </t>
    </r>
  </si>
  <si>
    <t xml:space="preserve"> В. КРАТКОСРОЧНИ ПАСИВИ</t>
  </si>
  <si>
    <t>Сума на пасива (А+Б+В)</t>
  </si>
  <si>
    <t xml:space="preserve">Загуба от баланса: </t>
  </si>
  <si>
    <t xml:space="preserve">Печалба от баланса : </t>
  </si>
  <si>
    <t xml:space="preserve">Печалба от ОПР: </t>
  </si>
  <si>
    <t xml:space="preserve">Загуба от ОПР: </t>
  </si>
  <si>
    <t xml:space="preserve"> 5. Други парични средства</t>
  </si>
  <si>
    <t>`</t>
  </si>
  <si>
    <r>
      <t xml:space="preserve"> 2. </t>
    </r>
    <r>
      <rPr>
        <sz val="8"/>
        <rFont val="Arial"/>
        <family val="2"/>
      </rPr>
      <t>Резерв от последващи</t>
    </r>
    <r>
      <rPr>
        <sz val="7"/>
        <rFont val="Arial"/>
        <family val="2"/>
      </rPr>
      <t xml:space="preserve"> оценки на активите и пасивите</t>
    </r>
  </si>
  <si>
    <r>
      <t xml:space="preserve"> 1. </t>
    </r>
    <r>
      <rPr>
        <sz val="11"/>
        <rFont val="Arial"/>
        <family val="2"/>
      </rPr>
      <t>Задължения</t>
    </r>
    <r>
      <rPr>
        <sz val="10"/>
        <rFont val="Arial"/>
        <family val="2"/>
      </rPr>
      <t xml:space="preserve"> към свързани предприятия</t>
    </r>
  </si>
  <si>
    <r>
      <t xml:space="preserve"> 2. </t>
    </r>
    <r>
      <rPr>
        <sz val="10"/>
        <rFont val="Arial"/>
        <family val="2"/>
      </rPr>
      <t>Задължения към финансови предприятия</t>
    </r>
  </si>
  <si>
    <r>
      <t xml:space="preserve"> II.</t>
    </r>
    <r>
      <rPr>
        <sz val="9"/>
        <rFont val="Arial"/>
        <family val="2"/>
      </rPr>
      <t xml:space="preserve"> Приходи за бъдещи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периоди</t>
    </r>
    <r>
      <rPr>
        <sz val="8"/>
        <rFont val="Arial"/>
        <family val="2"/>
      </rPr>
      <t xml:space="preserve"> и финансирания</t>
    </r>
  </si>
  <si>
    <r>
      <t xml:space="preserve"> 1. Задължения</t>
    </r>
    <r>
      <rPr>
        <sz val="10"/>
        <rFont val="Arial"/>
        <family val="2"/>
      </rPr>
      <t xml:space="preserve"> към свързани предприятия</t>
    </r>
  </si>
  <si>
    <r>
      <t xml:space="preserve"> 3. Задължения</t>
    </r>
    <r>
      <rPr>
        <sz val="10"/>
        <rFont val="Arial"/>
        <family val="2"/>
      </rPr>
      <t xml:space="preserve"> към доставчици и клиенти</t>
    </r>
  </si>
  <si>
    <r>
      <t xml:space="preserve"> 6. </t>
    </r>
    <r>
      <rPr>
        <sz val="9"/>
        <rFont val="Arial"/>
        <family val="2"/>
      </rPr>
      <t>Задължения към осигурителни предприятия</t>
    </r>
  </si>
  <si>
    <r>
      <t xml:space="preserve"> II. </t>
    </r>
    <r>
      <rPr>
        <sz val="9"/>
        <rFont val="Arial"/>
        <family val="2"/>
      </rPr>
      <t xml:space="preserve">Приходи за бъдещи периоди и </t>
    </r>
    <r>
      <rPr>
        <sz val="8"/>
        <rFont val="Arial"/>
        <family val="2"/>
      </rPr>
      <t>финансирания</t>
    </r>
  </si>
  <si>
    <t>Наименивание на разходите</t>
  </si>
  <si>
    <r>
      <t xml:space="preserve"> 1.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Балансова</t>
    </r>
    <r>
      <rPr>
        <sz val="9"/>
        <rFont val="Arial"/>
        <family val="2"/>
      </rPr>
      <t xml:space="preserve"> стойност на продадени активи</t>
    </r>
  </si>
  <si>
    <r>
      <t xml:space="preserve"> 2. </t>
    </r>
    <r>
      <rPr>
        <sz val="10"/>
        <rFont val="Arial"/>
        <family val="2"/>
      </rPr>
      <t xml:space="preserve">Разходи за придобиване и </t>
    </r>
    <r>
      <rPr>
        <sz val="8"/>
        <rFont val="Arial"/>
        <family val="2"/>
      </rPr>
      <t>ликвидация на</t>
    </r>
  </si>
  <si>
    <t xml:space="preserve">     дълготрайни активи по стопански начин</t>
  </si>
  <si>
    <t>П  о  к  а  з  а  т  е  л  и    и    п  о  я  с  н  е  н  и  я</t>
  </si>
  <si>
    <t>Факторен анализ на коефициентите</t>
  </si>
  <si>
    <t>Факторен анализ на коефициентите - продължение</t>
  </si>
  <si>
    <r>
      <t xml:space="preserve">Средна наличност на вземанията от </t>
    </r>
    <r>
      <rPr>
        <sz val="10"/>
        <rFont val="Arial Cyr"/>
        <family val="0"/>
      </rPr>
      <t>клиенти</t>
    </r>
  </si>
  <si>
    <t>Нетна печалба за периода</t>
  </si>
  <si>
    <t>Коеф. на лихвено покритие                 (1/5)</t>
  </si>
  <si>
    <t>и   показва,  че   фирмата   има   възможност   да   изплати</t>
  </si>
  <si>
    <t>от  краткосрочните</t>
  </si>
  <si>
    <r>
      <t xml:space="preserve">      </t>
    </r>
    <r>
      <rPr>
        <b/>
        <u val="single"/>
        <sz val="11"/>
        <rFont val="Arial"/>
        <family val="2"/>
      </rPr>
      <t>Коефициентът на незабавна ликвидност</t>
    </r>
    <r>
      <rPr>
        <sz val="11"/>
        <rFont val="Arial"/>
        <family val="0"/>
      </rPr>
      <t xml:space="preserve"> през анализирания период е</t>
    </r>
  </si>
  <si>
    <t>еквиваленти.   В    сравнение   с   базисния   период   този   показател</t>
  </si>
  <si>
    <r>
      <t xml:space="preserve">     </t>
    </r>
    <r>
      <rPr>
        <b/>
        <u val="single"/>
        <sz val="11"/>
        <rFont val="Arial Cyr"/>
        <family val="0"/>
      </rPr>
      <t>Ликвидността</t>
    </r>
    <r>
      <rPr>
        <sz val="11"/>
        <rFont val="Arial Cyr"/>
        <family val="2"/>
      </rPr>
      <t xml:space="preserve">  изразена в коефициент от отношението на наличните краткотрайни</t>
    </r>
  </si>
  <si>
    <t>активи  (материални   запаси,  краткосрочни   вземания,  краткосрочни   финансови   активи</t>
  </si>
  <si>
    <t>Величко Адамов, Румяна Лилова, Васил Захариев, Инструменти за финансово</t>
  </si>
  <si>
    <t>управление на фирмата, Свищов, 1992г.</t>
  </si>
  <si>
    <t>Разходи за амортизации</t>
  </si>
  <si>
    <t>Разходи за възнаграждения</t>
  </si>
  <si>
    <t>Разходи за осигуровки</t>
  </si>
  <si>
    <t>Суми с корективен характер</t>
  </si>
  <si>
    <t>Финансови разходи</t>
  </si>
  <si>
    <t>лева. В сравнение с</t>
  </si>
  <si>
    <t>Лева:</t>
  </si>
  <si>
    <t>С приложение на математически методи оптимизира производствени програми.</t>
  </si>
  <si>
    <t xml:space="preserve"> Материали</t>
  </si>
  <si>
    <t xml:space="preserve"> Продукция</t>
  </si>
  <si>
    <t xml:space="preserve"> Дребни продуктивни животни</t>
  </si>
  <si>
    <t xml:space="preserve"> Незавършено производство</t>
  </si>
  <si>
    <t xml:space="preserve"> Други материални запаси</t>
  </si>
  <si>
    <t xml:space="preserve"> Стоки</t>
  </si>
  <si>
    <t>II</t>
  </si>
  <si>
    <t>III</t>
  </si>
  <si>
    <t>П  о  к  а  з  а  т  е  л  и</t>
  </si>
  <si>
    <t>Изменение спрямо</t>
  </si>
  <si>
    <t>и</t>
  </si>
  <si>
    <t>базисния     период</t>
  </si>
  <si>
    <t>ф а к т о р и   за   и з м е н е н и е</t>
  </si>
  <si>
    <t xml:space="preserve">Други дългосрочни задължения </t>
  </si>
  <si>
    <t>за собствения капитал</t>
  </si>
  <si>
    <t>Р     е     з     е     р     в     и</t>
  </si>
  <si>
    <t>Основен</t>
  </si>
  <si>
    <t>Премии</t>
  </si>
  <si>
    <t>Резерв от по-</t>
  </si>
  <si>
    <t>Целеви резерви</t>
  </si>
  <si>
    <t>Резерв</t>
  </si>
  <si>
    <t>Общо</t>
  </si>
  <si>
    <t>П  О  К  А  З  А  Т  Е  Л  И</t>
  </si>
  <si>
    <t>капитал</t>
  </si>
  <si>
    <t>от</t>
  </si>
  <si>
    <t>следващи оце-</t>
  </si>
  <si>
    <t>Специа-</t>
  </si>
  <si>
    <t>собствен</t>
  </si>
  <si>
    <t>емисия</t>
  </si>
  <si>
    <t xml:space="preserve">    През анализирания период  в</t>
  </si>
  <si>
    <t>дни парите са  били  блокирани  в  материални  запаси.  След  като  стоката  се  продаде  са</t>
  </si>
  <si>
    <t>били    необходими    още</t>
  </si>
  <si>
    <t>дни, за да се получат парите от клиентите. И тъй като</t>
  </si>
  <si>
    <t>фирмата получава средно</t>
  </si>
  <si>
    <t>дни   кредит   от   доставчиците   си,  тя   трябва    да</t>
  </si>
  <si>
    <r>
      <t>финансира</t>
    </r>
    <r>
      <rPr>
        <sz val="10"/>
        <rFont val="Arial Cyr"/>
        <family val="0"/>
      </rPr>
      <t xml:space="preserve"> само</t>
    </r>
  </si>
  <si>
    <t>дни  от  паричния цикъл.</t>
  </si>
  <si>
    <t>Коеф. на общо покритие</t>
  </si>
  <si>
    <t>Възвръщаемост на капитала</t>
  </si>
  <si>
    <t>(Печалба преди лихви и</t>
  </si>
  <si>
    <t>данъци/текущи задължения)</t>
  </si>
  <si>
    <t>данъци / капитал вс.)</t>
  </si>
  <si>
    <t>Съставил:</t>
  </si>
  <si>
    <r>
      <t xml:space="preserve">      </t>
    </r>
    <r>
      <rPr>
        <b/>
        <u val="single"/>
        <sz val="11"/>
        <rFont val="Arial Cyr"/>
        <family val="2"/>
      </rPr>
      <t>Забележка</t>
    </r>
    <r>
      <rPr>
        <sz val="11"/>
        <rFont val="Arial Cyr"/>
        <family val="2"/>
      </rPr>
      <t xml:space="preserve">: Ако в клетките за дата се появи </t>
    </r>
    <r>
      <rPr>
        <b/>
        <sz val="11"/>
        <rFont val="Arial Cyr"/>
        <family val="2"/>
      </rPr>
      <t xml:space="preserve"> #NAME?</t>
    </r>
    <r>
      <rPr>
        <sz val="11"/>
        <rFont val="Arial Cyr"/>
        <family val="2"/>
      </rPr>
      <t xml:space="preserve">  активирайте </t>
    </r>
  </si>
  <si>
    <t>Разходи за бъдещи периоди</t>
  </si>
  <si>
    <t>Коеф. на  покриване  на  краткосрочните</t>
  </si>
  <si>
    <r>
      <t xml:space="preserve">     </t>
    </r>
    <r>
      <rPr>
        <b/>
        <sz val="11"/>
        <rFont val="Arial Cyr"/>
        <family val="2"/>
      </rPr>
      <t xml:space="preserve">Постоянният    капитал </t>
    </r>
    <r>
      <rPr>
        <sz val="11"/>
        <rFont val="Arial Cyr"/>
        <family val="2"/>
      </rPr>
      <t xml:space="preserve">   включва    собствения    капитал,  дългосрочните   заеми,</t>
    </r>
  </si>
  <si>
    <t xml:space="preserve"> Оцветените  в  черно  клетки  са  с  формули  и  не  се  попълват ( те имат защита)</t>
  </si>
  <si>
    <t>коефициент на оборотния капитал  към  приходите  от  обичайна</t>
  </si>
  <si>
    <t>задължения,   отколкото   мате-</t>
  </si>
  <si>
    <t xml:space="preserve"> 1. Положителна репутация</t>
  </si>
  <si>
    <t xml:space="preserve"> 2. Отрицателна репутация</t>
  </si>
  <si>
    <t xml:space="preserve"> V. Разходи за бъдещи периоди</t>
  </si>
  <si>
    <t>Сума на актива (А+Б)</t>
  </si>
  <si>
    <t xml:space="preserve"> АКТИВ</t>
  </si>
  <si>
    <t>а</t>
  </si>
  <si>
    <t xml:space="preserve"> В. УСЛОВНИ АКТИВИ</t>
  </si>
  <si>
    <t xml:space="preserve">ПАСИВ  </t>
  </si>
  <si>
    <t xml:space="preserve"> А. СОБСТВЕН КАПИТАЛ</t>
  </si>
  <si>
    <t xml:space="preserve"> I. Основен капитал</t>
  </si>
  <si>
    <t xml:space="preserve"> 1. Записан капитал</t>
  </si>
  <si>
    <t xml:space="preserve"> 2. Невнесен капитал</t>
  </si>
  <si>
    <t xml:space="preserve"> 3. Изкупени собствени акции</t>
  </si>
  <si>
    <t xml:space="preserve"> II. Резерви</t>
  </si>
  <si>
    <t xml:space="preserve"> 1. Премии от емисии</t>
  </si>
  <si>
    <t xml:space="preserve"> 3. Целеви резерви</t>
  </si>
  <si>
    <t xml:space="preserve">   в  т.ч. :  - общи резерви</t>
  </si>
  <si>
    <t xml:space="preserve">                 - специализирани резерви</t>
  </si>
  <si>
    <t xml:space="preserve">                 - други резерви</t>
  </si>
  <si>
    <t xml:space="preserve"> III. Финансов резултат</t>
  </si>
  <si>
    <t xml:space="preserve"> 1. Натрупана печалба (загуба)</t>
  </si>
  <si>
    <t xml:space="preserve">   в  т.ч. :  - неразпределена печалба</t>
  </si>
  <si>
    <t xml:space="preserve">                 - непокрита загуба</t>
  </si>
  <si>
    <t xml:space="preserve"> 2. Текуща печалба (загуба)</t>
  </si>
  <si>
    <t xml:space="preserve"> I. Дългосрочни задължения</t>
  </si>
  <si>
    <t xml:space="preserve"> 3. Задължения по търговски заеми</t>
  </si>
  <si>
    <t xml:space="preserve"> 4. Задължения по облигационни заеми</t>
  </si>
  <si>
    <t xml:space="preserve"> 5. Отсрочени данъци</t>
  </si>
  <si>
    <t xml:space="preserve"> 6. Други дългосрочни задължения</t>
  </si>
  <si>
    <t>Н. Христович, Наръчник по бизнес оценяване, методи, техники, разчети,</t>
  </si>
  <si>
    <t>анализи, С., 1993г.</t>
  </si>
  <si>
    <t>Никола Николов, Финансов  анализ, PRINCEPS Варна, 1994г.</t>
  </si>
  <si>
    <t>Марко Тимчев, Как на практика да оповестим финансово-счетоводния анализ</t>
  </si>
  <si>
    <t>съобразно изискванията на НСС-29, ПРОТЕД, София, 1995г.</t>
  </si>
  <si>
    <t>Георги  Петров,  Основи  на  финансите  на  фирмата,  ИК  "Труд  и  право",</t>
  </si>
  <si>
    <t>София, 1995г.</t>
  </si>
  <si>
    <t>Печалба преди лихви и данъци</t>
  </si>
  <si>
    <t>задължения в дни  (1/15*дните в периода)</t>
  </si>
  <si>
    <t>Дял на собствения капитал в общия</t>
  </si>
  <si>
    <t>капиталов ресурс                                 (5/4)</t>
  </si>
  <si>
    <t>Коеф. на дохода към р-дите за лихви  (11/12)</t>
  </si>
  <si>
    <t>Възможно е в някоя клетка да се появи знака  за  препълване "#######".</t>
  </si>
  <si>
    <t>В такива случаи не разширявайте колоните, а в съответната клетка намалете размера</t>
  </si>
  <si>
    <t>на шрифта. Това може да правите при  свалена  защита  на  работния (преименувания)</t>
  </si>
  <si>
    <t>Анализ на обращаемостта на активите</t>
  </si>
  <si>
    <t xml:space="preserve"> Отчет за паричните потоци -  по прекия начин на изготвяне</t>
  </si>
  <si>
    <t xml:space="preserve"> са  от  основна  дейност;</t>
  </si>
  <si>
    <t xml:space="preserve"> са  за  основна  дейност;</t>
  </si>
  <si>
    <t>Положителна репутация</t>
  </si>
  <si>
    <t xml:space="preserve"> Г.  За краткосрочни позиции</t>
  </si>
  <si>
    <t>Съотношение на:</t>
  </si>
  <si>
    <t>Изходящите  към  входящите  дългосрочни  парични</t>
  </si>
  <si>
    <t>потоци (В / А)</t>
  </si>
  <si>
    <t xml:space="preserve">= 95 - 100% </t>
  </si>
  <si>
    <t>Това  може  да  се  види   само  от  рентабилността  на  активите.</t>
  </si>
  <si>
    <t>…</t>
  </si>
  <si>
    <t xml:space="preserve"> 5. Други суми с корективен характер</t>
  </si>
  <si>
    <t xml:space="preserve"> III. Финансови разходи</t>
  </si>
  <si>
    <t xml:space="preserve"> 1. Разходи за лихви</t>
  </si>
  <si>
    <t>нки на активи</t>
  </si>
  <si>
    <t>Общи</t>
  </si>
  <si>
    <t>ли-</t>
  </si>
  <si>
    <t>преводи</t>
  </si>
  <si>
    <t>и пасиви</t>
  </si>
  <si>
    <t>зирани</t>
  </si>
  <si>
    <t xml:space="preserve"> Салдо в началото на отчетния период</t>
  </si>
  <si>
    <t xml:space="preserve"> 1. Изменение за сметка на собствениците</t>
  </si>
  <si>
    <t xml:space="preserve">  в т.ч.   - увеличение</t>
  </si>
  <si>
    <t xml:space="preserve">             - намаление</t>
  </si>
  <si>
    <t xml:space="preserve"> 2. Финансов резултат за текущия период</t>
  </si>
  <si>
    <t xml:space="preserve"> 3. Разпределение на печалба</t>
  </si>
  <si>
    <t>Период на погасяване на задълженията към доставчици в дни</t>
  </si>
  <si>
    <t>средната наличност на задълженията</t>
  </si>
  <si>
    <t>Диагностика  за  възможността  от  банкрут   на</t>
  </si>
  <si>
    <t>I.  Входящ  паричен  поток      (A + B)</t>
  </si>
  <si>
    <t xml:space="preserve"> A.  От дългосрочни позиции</t>
  </si>
  <si>
    <t>Финансов резултат от текущия период</t>
  </si>
  <si>
    <t>Колкото    по-голям    е    делът  на   чуждия   капитал,   толкова   при   определени   условия</t>
  </si>
  <si>
    <t>Литература</t>
  </si>
  <si>
    <t>О т ч е т</t>
  </si>
  <si>
    <t>за приходите и разходите</t>
  </si>
  <si>
    <t xml:space="preserve"> А. РАЗХОДИ ЗА ОБИЧАЙНАТА ДЕЙНОСТ</t>
  </si>
  <si>
    <t>На приходите от продажби</t>
  </si>
  <si>
    <t xml:space="preserve"> Анализ на материалните запаси</t>
  </si>
  <si>
    <r>
      <t xml:space="preserve">печалба преди данъчно облагане    (2/7)  </t>
    </r>
    <r>
      <rPr>
        <b/>
        <sz val="10"/>
        <rFont val="Arial Cyr"/>
        <family val="2"/>
      </rPr>
      <t>&gt;=1.5</t>
    </r>
  </si>
  <si>
    <t xml:space="preserve"> Кредитен рейтинг и кредитоспособност</t>
  </si>
  <si>
    <t xml:space="preserve"> Доставчици и клиенти</t>
  </si>
  <si>
    <t xml:space="preserve"> Персонала</t>
  </si>
  <si>
    <t xml:space="preserve"> Осигурителни предприятия</t>
  </si>
  <si>
    <t xml:space="preserve"> Задължения</t>
  </si>
  <si>
    <t xml:space="preserve"> Вземания</t>
  </si>
  <si>
    <t xml:space="preserve"> Амортизации</t>
  </si>
  <si>
    <t>1а</t>
  </si>
  <si>
    <t>1б</t>
  </si>
  <si>
    <r>
      <t>Баланс, ОПР, Отчет за паричния поток и Отчет за собствения капитал</t>
    </r>
    <r>
      <rPr>
        <sz val="11"/>
        <rFont val="Arial Cyr"/>
        <family val="2"/>
      </rPr>
      <t>, свързани с анализа, което позволява да се разпечатват на английски, немски, руски, турски и гръцки език без да се въвежда допълнителна информация.</t>
    </r>
  </si>
  <si>
    <r>
      <t>дружества за сравняване на финансови показатели по отделни периоди, а в холдингови структури и по поделения.</t>
    </r>
    <r>
      <rPr>
        <sz val="10"/>
        <rFont val="Arial Cyr"/>
        <family val="2"/>
      </rPr>
      <t xml:space="preserve"> В програмата  няма текстови коментар.</t>
    </r>
  </si>
  <si>
    <r>
      <t xml:space="preserve">300                           </t>
    </r>
    <r>
      <rPr>
        <sz val="7"/>
        <rFont val="Arial Cyr"/>
        <family val="0"/>
      </rPr>
      <t>за холдингови структури</t>
    </r>
  </si>
  <si>
    <r>
      <t>Бизнес  анализи  и  разчети  за  мениджъри, експерти  и  гл. счетоводители</t>
    </r>
    <r>
      <rPr>
        <sz val="9"/>
        <rFont val="Arial Cyr"/>
        <family val="2"/>
      </rPr>
      <t xml:space="preserve">  -</t>
    </r>
    <r>
      <rPr>
        <sz val="10"/>
        <rFont val="Arial Cyr"/>
        <family val="0"/>
      </rPr>
      <t xml:space="preserve">                    550 програми и алгоритми  разработени на база на богата литература от книги,</t>
    </r>
  </si>
  <si>
    <r>
      <t xml:space="preserve"> </t>
    </r>
    <r>
      <rPr>
        <b/>
        <sz val="11"/>
        <rFont val="Arial Cyr"/>
        <family val="0"/>
      </rPr>
      <t>Консолидиране на счетоводни отчети</t>
    </r>
    <r>
      <rPr>
        <sz val="10"/>
        <rFont val="Arial Cyr"/>
        <family val="2"/>
      </rPr>
      <t xml:space="preserve"> - обединява и консолидира отчети по изискванията на НСС 27. Разполага с кратък сметкоплан и оборотна ведомост. Пълна автоматизация на преизчисленията и тяхното насочване по съответните шифри на отчетите.</t>
    </r>
  </si>
  <si>
    <r>
      <t>Обобщаване</t>
    </r>
    <r>
      <rPr>
        <sz val="10"/>
        <rFont val="Arial Cyr"/>
        <family val="2"/>
      </rPr>
      <t xml:space="preserve"> на баланси, ОПР, Отчети за паричните потоци и Отчети за собствения капитал</t>
    </r>
  </si>
  <si>
    <t>Коеф. на рентабилност на приходите от продажбите</t>
  </si>
  <si>
    <t>нетния размер на приходите от прода-</t>
  </si>
  <si>
    <t>финансовия резултат за анализирания</t>
  </si>
  <si>
    <t>период</t>
  </si>
  <si>
    <t xml:space="preserve"> РАЗХОДИ ЗА ОБИЧАЙНАТА ДЕЙНОСТ</t>
  </si>
  <si>
    <t xml:space="preserve"> Разходи по икономически елементи</t>
  </si>
  <si>
    <t xml:space="preserve"> Разходи за материали</t>
  </si>
  <si>
    <t xml:space="preserve"> Разходи за външни услуги</t>
  </si>
  <si>
    <t xml:space="preserve"> Разходи за амортизации</t>
  </si>
  <si>
    <t>Временно свалете защитата на файл "Anal_0":</t>
  </si>
  <si>
    <t>Tools</t>
  </si>
  <si>
    <t>Protection</t>
  </si>
  <si>
    <t>Unprotect Sheet...</t>
  </si>
  <si>
    <t>Отворете файл "ANAL_6_2002".</t>
  </si>
  <si>
    <t>Изберете:</t>
  </si>
  <si>
    <t>Капитализация на активите</t>
  </si>
  <si>
    <t>Ефективност</t>
  </si>
  <si>
    <t>На разходите</t>
  </si>
  <si>
    <t>На приходите</t>
  </si>
  <si>
    <t>Приходи, разходи и финансов резултат</t>
  </si>
  <si>
    <t>Лихви</t>
  </si>
  <si>
    <t>Парични постъпления</t>
  </si>
  <si>
    <t>От инвестиционна дейност</t>
  </si>
  <si>
    <t>От финансова дейност</t>
  </si>
  <si>
    <t>Парични плащания</t>
  </si>
  <si>
    <t>За инвестиционна дейност</t>
  </si>
  <si>
    <t>За финансова дейност</t>
  </si>
  <si>
    <t>вия    резултат   рентабилността     се</t>
  </si>
  <si>
    <r>
      <t xml:space="preserve">собствен капитал       (10/9)                </t>
    </r>
    <r>
      <rPr>
        <b/>
        <sz val="12"/>
        <rFont val="Arial Cyr"/>
        <family val="2"/>
      </rPr>
      <t>&gt;=1</t>
    </r>
  </si>
  <si>
    <t>Покритие на постояните парични задълнения с</t>
  </si>
  <si>
    <t>Нетен оборотен капитал                     (12-6)</t>
  </si>
  <si>
    <t>Коеф. на общо покритие                      (1/7)</t>
  </si>
  <si>
    <t>Парични наличности към задължения       (8/7)</t>
  </si>
  <si>
    <r>
      <t xml:space="preserve">нетен оборотен капитал     (13/6)     </t>
    </r>
    <r>
      <rPr>
        <b/>
        <sz val="12"/>
        <rFont val="Arial Cyr"/>
        <family val="2"/>
      </rPr>
      <t>&gt;=1.2</t>
    </r>
  </si>
  <si>
    <t xml:space="preserve"> 1. Парични потоци от емитиране и</t>
  </si>
  <si>
    <t xml:space="preserve">вземанията   с </t>
  </si>
  <si>
    <t xml:space="preserve">    През   анализираният   период    задълженията   възлизат    на </t>
  </si>
  <si>
    <t>на   вземанията  има</t>
  </si>
  <si>
    <t>на   материалните запаси   има</t>
  </si>
  <si>
    <t>има</t>
  </si>
  <si>
    <t xml:space="preserve"> Коеф. на покриване на дълготрайните</t>
  </si>
  <si>
    <t xml:space="preserve"> активи със постоянен капитал (7/8)</t>
  </si>
  <si>
    <t xml:space="preserve"> задължения   с   налични   краткотрайни</t>
  </si>
  <si>
    <r>
      <t xml:space="preserve"> активи (11/12)                                           </t>
    </r>
    <r>
      <rPr>
        <b/>
        <sz val="11"/>
        <rFont val="Arial Cyr"/>
        <family val="2"/>
      </rPr>
      <t>&gt;1</t>
    </r>
  </si>
  <si>
    <t xml:space="preserve"> Съотношение  на  собствения  капитал</t>
  </si>
  <si>
    <t xml:space="preserve"> към сумата на баланса (1/14)</t>
  </si>
  <si>
    <t xml:space="preserve"> Финансови предприятия</t>
  </si>
  <si>
    <t xml:space="preserve"> Търговски заеми</t>
  </si>
  <si>
    <t>Бисер олива,  Калиакра,  ЛВК-Винпром,  Винекс-Преслав,  ЛВК-Гъмза, Астика, Загорка, СИБАНК,  Геосол, Биовет,</t>
  </si>
  <si>
    <t>Балканфарма,  Металснаб,  Чугунолеене,  Енергопроект,  Емка,  Елма,  Агробиохим,  Бентонит  и  много други.</t>
  </si>
  <si>
    <t>Пълна оферта, съдържание, демоверсии и условия за доставка</t>
  </si>
  <si>
    <r>
      <t xml:space="preserve">на  програмите  може  да  намерите  в  WEB страница: </t>
    </r>
    <r>
      <rPr>
        <sz val="12"/>
        <color indexed="12"/>
        <rFont val="Arial Cyr"/>
        <family val="0"/>
      </rPr>
      <t>www.daik.dir.bg</t>
    </r>
  </si>
  <si>
    <t xml:space="preserve">     През     анализирания    период     отношението    между     финансовия     резултат </t>
  </si>
  <si>
    <t xml:space="preserve"> 2. Паричните потоци, свързани с предо-</t>
  </si>
  <si>
    <t xml:space="preserve">  ставени заеми</t>
  </si>
  <si>
    <t>Димитър Динев, Тодор Кръстев, Анализ на финансово-счетоводните отчети,</t>
  </si>
  <si>
    <t>DDC София, 1993г.</t>
  </si>
  <si>
    <r>
      <t>Рентабилност</t>
    </r>
    <r>
      <rPr>
        <sz val="10"/>
        <rFont val="Arial Cyr"/>
        <family val="2"/>
      </rPr>
      <t xml:space="preserve"> на база р-ди за дейността  (3/2)</t>
    </r>
  </si>
  <si>
    <t>б</t>
  </si>
  <si>
    <r>
      <t xml:space="preserve"> </t>
    </r>
    <r>
      <rPr>
        <sz val="9"/>
        <rFont val="Arial"/>
        <family val="2"/>
      </rPr>
      <t>Д. Парични</t>
    </r>
    <r>
      <rPr>
        <sz val="8"/>
        <rFont val="Arial"/>
        <family val="0"/>
      </rPr>
      <t xml:space="preserve"> средства в началото на периода</t>
    </r>
  </si>
  <si>
    <t xml:space="preserve"> В. ПАРИЧНИ ПОТОЦИ ОТ ФИНАНС. ДЕЙНОСТ</t>
  </si>
  <si>
    <t xml:space="preserve">Мярка: Хил. лв.  </t>
  </si>
  <si>
    <t xml:space="preserve"> А. ПАРИЧНИ ПОТОЦИ ОТ ОСНОВНА ДЕЙНОСТ</t>
  </si>
  <si>
    <t xml:space="preserve"> От менюто натиснете върху "А3а_ОПП_ПМ" и попълнете сините</t>
  </si>
  <si>
    <t xml:space="preserve"> клетки. Ако не разполагате с този отчет не е фатално - няма да ползвате</t>
  </si>
  <si>
    <t xml:space="preserve"> стр.26 и част от стр.25 на анализа.</t>
  </si>
  <si>
    <t xml:space="preserve">6. </t>
  </si>
  <si>
    <t xml:space="preserve"> От менюто натиснете върху "А5_Средни_наличности" и попълнете сините клетки</t>
  </si>
  <si>
    <t>на двете таблици. Ако не ги попълните програмата ще вземе информация от</t>
  </si>
  <si>
    <t>Данъчна обремененост                         (6/5)</t>
  </si>
  <si>
    <t>Лихвена обремененост                         (5/4)</t>
  </si>
  <si>
    <t>Оперативна норма на печалба            (4/9)</t>
  </si>
  <si>
    <t>Оборот  на капитала                            (9/14)</t>
  </si>
  <si>
    <r>
      <t xml:space="preserve">Коеф. на усилване (коеф. на </t>
    </r>
    <r>
      <rPr>
        <b/>
        <sz val="9"/>
        <rFont val="Arial Cyr"/>
        <family val="0"/>
      </rPr>
      <t>ливъриджа</t>
    </r>
    <r>
      <rPr>
        <sz val="9"/>
        <rFont val="Arial Cyr"/>
        <family val="2"/>
      </rPr>
      <t xml:space="preserve">)    </t>
    </r>
    <r>
      <rPr>
        <sz val="11"/>
        <rFont val="Arial Cyr"/>
        <family val="0"/>
      </rPr>
      <t>(14/15)</t>
    </r>
  </si>
  <si>
    <t>Сложен фактор на усилване             (25*28)</t>
  </si>
  <si>
    <t>хил. лв.,  което   е   с</t>
  </si>
  <si>
    <t xml:space="preserve">  Плащания за основна дейност</t>
  </si>
  <si>
    <t>Георги Мичев, Анализ на стопанската дейност на промишленото предприятие</t>
  </si>
  <si>
    <t>с персонален компютър, Пловдив, 1986г.</t>
  </si>
  <si>
    <t>Георги Мичев, Икономически разчети и анализ с приложение на ППП Микро-</t>
  </si>
  <si>
    <t>план 16 в. 2.0 (Lotus 1-2-3), Пловдив, 1991г.</t>
  </si>
  <si>
    <t>Димитър Динев, Димитър Ненков, Финанси на съвременната фирма, DDC,</t>
  </si>
  <si>
    <t>София, 1992г.</t>
  </si>
  <si>
    <t>Структура на разходите за обичайната дейност</t>
  </si>
  <si>
    <t xml:space="preserve"> I. Дълготрайни материални активи</t>
  </si>
  <si>
    <t xml:space="preserve"> 1. Земи (терени)</t>
  </si>
  <si>
    <t xml:space="preserve"> 4. Задължения по търговски заеми</t>
  </si>
  <si>
    <t xml:space="preserve"> 5. Задължения към персонала</t>
  </si>
  <si>
    <t xml:space="preserve"> 7. Данъчни задължения</t>
  </si>
  <si>
    <t xml:space="preserve">Общо за раздел В : </t>
  </si>
  <si>
    <t xml:space="preserve"> IV. Търговска репутация</t>
  </si>
  <si>
    <t>Печалба от обичайната дейност</t>
  </si>
  <si>
    <t>Нетен паричен поток от основна дейност</t>
  </si>
  <si>
    <t>Сума на активите</t>
  </si>
  <si>
    <t>Оборотен капитал                             (1+2-3)</t>
  </si>
  <si>
    <t>Коеф. оборотен капитал към приходите</t>
  </si>
  <si>
    <t>от обичйната дейност                         (11/4)</t>
  </si>
  <si>
    <t>Коеф. на вземания към задължения   (2/3)</t>
  </si>
  <si>
    <t>Среднодневни приходи                       (4/14)</t>
  </si>
  <si>
    <t>Среднодневни разходи                       (5/14)</t>
  </si>
  <si>
    <t>Материални запаси в дни                   (1/16)</t>
  </si>
  <si>
    <t>Оборот на материалните запаси         (5/1)</t>
  </si>
  <si>
    <r>
      <t xml:space="preserve">Получен кредит от доставчици </t>
    </r>
    <r>
      <rPr>
        <sz val="10"/>
        <rFont val="Arial Cyr"/>
        <family val="0"/>
      </rPr>
      <t>в дни  (3/16)</t>
    </r>
  </si>
  <si>
    <t>Отпуснат кредит на клиенти в дни     (2/15)</t>
  </si>
  <si>
    <t>Паричен цикъл (Пари - Материали - Стока -</t>
  </si>
  <si>
    <t>Пари)  в дни                                  (17-19+20)</t>
  </si>
  <si>
    <t xml:space="preserve"> Дълготрайни  активи</t>
  </si>
  <si>
    <t>Извод:</t>
  </si>
  <si>
    <t>на основните финансови показатели  към</t>
  </si>
  <si>
    <t>Анализ на собствеността и капиталовата структура</t>
  </si>
  <si>
    <t xml:space="preserve">Мярка: Х.лв. </t>
  </si>
  <si>
    <t>Разлика</t>
  </si>
  <si>
    <t>N:</t>
  </si>
  <si>
    <t>П о к а з а т е л и</t>
  </si>
  <si>
    <t>Стойност</t>
  </si>
  <si>
    <t>%</t>
  </si>
  <si>
    <t>1</t>
  </si>
  <si>
    <t>Резерви</t>
  </si>
  <si>
    <t>Финансов резултат от предходни периоди</t>
  </si>
  <si>
    <r>
      <t>Финансов резултат</t>
    </r>
    <r>
      <rPr>
        <sz val="11"/>
        <rFont val="Arial Cyr"/>
        <family val="2"/>
      </rPr>
      <t xml:space="preserve"> от текущия период</t>
    </r>
  </si>
  <si>
    <r>
      <t xml:space="preserve">   </t>
    </r>
    <r>
      <rPr>
        <sz val="11"/>
        <rFont val="Arial"/>
        <family val="2"/>
      </rPr>
      <t>в  т.ч. лихви към</t>
    </r>
    <r>
      <rPr>
        <sz val="10"/>
        <rFont val="Arial"/>
        <family val="0"/>
      </rPr>
      <t xml:space="preserve"> свързани предприятия</t>
    </r>
  </si>
  <si>
    <t xml:space="preserve"> 2. Отрицателни разлики от операции</t>
  </si>
  <si>
    <t xml:space="preserve">     с финансови активи и инструменти</t>
  </si>
  <si>
    <r>
      <t xml:space="preserve"> 3</t>
    </r>
    <r>
      <rPr>
        <sz val="8"/>
        <rFont val="Arial"/>
        <family val="0"/>
      </rPr>
      <t>. Отрицателни разлики</t>
    </r>
    <r>
      <rPr>
        <sz val="7"/>
        <rFont val="Arial"/>
        <family val="2"/>
      </rPr>
      <t xml:space="preserve"> от промяна на валутни курсове</t>
    </r>
  </si>
  <si>
    <r>
      <t xml:space="preserve"> 4.</t>
    </r>
    <r>
      <rPr>
        <sz val="10"/>
        <rFont val="Arial"/>
        <family val="2"/>
      </rPr>
      <t xml:space="preserve"> Други разходи по финансови операции</t>
    </r>
  </si>
  <si>
    <t xml:space="preserve"> 3. Положителни разлики от операции</t>
  </si>
  <si>
    <t>От падащото меню на File</t>
  </si>
  <si>
    <t>No</t>
  </si>
  <si>
    <t>Ако се появи</t>
  </si>
  <si>
    <t>Разработва програмни продукти за финансови анализи и разчети.</t>
  </si>
  <si>
    <t xml:space="preserve">  Налични парични средства към 1 януари</t>
  </si>
  <si>
    <t xml:space="preserve"> гови договори</t>
  </si>
  <si>
    <t>Ефективност (възвръщаемост) на капитала</t>
  </si>
  <si>
    <t xml:space="preserve"> Основни изводи от финансовия анализ</t>
  </si>
  <si>
    <t>изразяващи    определени    съотношения    между    реализирани    доходи    и    направени</t>
  </si>
  <si>
    <t>"Дайк" - Пловдив</t>
  </si>
  <si>
    <t>Наличност на парични средства в края на периода</t>
  </si>
  <si>
    <r>
      <t xml:space="preserve">  Лихви </t>
    </r>
    <r>
      <rPr>
        <sz val="11"/>
        <rFont val="Arial Cyr"/>
        <family val="2"/>
      </rPr>
      <t>- изчислява дължими лихви за продължителен  период от време; разполага с база данни  за  ОЛП по  периоди, а  доброто онагледяване  на разчета помага за бързо разрешаване на спорове между опонентите.</t>
    </r>
  </si>
  <si>
    <t xml:space="preserve"> Калкулация</t>
  </si>
  <si>
    <t xml:space="preserve"> Себестойност</t>
  </si>
  <si>
    <r>
      <t xml:space="preserve"> Реализация </t>
    </r>
    <r>
      <rPr>
        <sz val="9"/>
        <rFont val="Arial Cyr"/>
        <family val="2"/>
      </rPr>
      <t xml:space="preserve"> </t>
    </r>
    <r>
      <rPr>
        <sz val="10"/>
        <rFont val="Arial Cyr"/>
        <family val="2"/>
      </rPr>
      <t xml:space="preserve">-  </t>
    </r>
    <r>
      <rPr>
        <sz val="11"/>
        <rFont val="Arial Cyr"/>
        <family val="2"/>
      </rPr>
      <t>обобщава,  сортира  реализацията  и  задълженията  по  периоди, клиенти  и  изделия</t>
    </r>
    <r>
      <rPr>
        <sz val="10"/>
        <rFont val="Arial Cyr"/>
        <family val="2"/>
      </rPr>
      <t>.</t>
    </r>
    <r>
      <rPr>
        <b/>
        <sz val="12"/>
        <rFont val="Arial Cyr"/>
        <family val="2"/>
      </rPr>
      <t xml:space="preserve"> </t>
    </r>
  </si>
  <si>
    <t xml:space="preserve"> Р е ч н и к</t>
  </si>
  <si>
    <r>
      <t xml:space="preserve">за </t>
    </r>
    <r>
      <rPr>
        <b/>
        <sz val="12"/>
        <rFont val="Arial Cyr"/>
        <family val="2"/>
      </rPr>
      <t xml:space="preserve"> WINDOWS    EXCEL   WORD    INTERNET    E-mail</t>
    </r>
  </si>
  <si>
    <t>Програмата се поддържа резидентно в оперативната памет на компютъра и превежда  над  3900 команди  и  съобщения.</t>
  </si>
  <si>
    <t xml:space="preserve"> Производствена програма</t>
  </si>
  <si>
    <t xml:space="preserve">С приложение  на  математически  методи  оптимизират  производствена </t>
  </si>
  <si>
    <t>постигане на максимални постъпления или печалба, както и за намаляване на</t>
  </si>
  <si>
    <t xml:space="preserve"> Маршрути за превози</t>
  </si>
  <si>
    <t>С приложение на математически оптимизира маршрутите за превози и постига минимизирана обща сума на разходите</t>
  </si>
  <si>
    <t xml:space="preserve"> Натоварване на машини и производствени мощности</t>
  </si>
  <si>
    <t>С приложение на математически методи оптимизира натоварването на машини и съоръжения и постига минимизирана обща сума на разходите за производство.</t>
  </si>
  <si>
    <t xml:space="preserve"> Разкрояване на материали</t>
  </si>
  <si>
    <t>С приложение на математически методи оптимизира разкрояване на материал (прът, лист или пуло) за постигане на минимални отпадъци.</t>
  </si>
  <si>
    <t xml:space="preserve"> Личен състав</t>
  </si>
  <si>
    <r>
      <t>Преоценка на валутни средства</t>
    </r>
    <r>
      <rPr>
        <sz val="11"/>
        <rFont val="Arial Cyr"/>
        <family val="2"/>
      </rPr>
      <t xml:space="preserve"> по счетоводни и банкови сметки</t>
    </r>
  </si>
  <si>
    <r>
      <t xml:space="preserve">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Данъци</t>
    </r>
    <r>
      <rPr>
        <sz val="11"/>
        <rFont val="Arial Cyr"/>
        <family val="2"/>
      </rPr>
      <t xml:space="preserve"> (Изчислява месечен и годишен данък по чл.38 от ЗОДФЛ)</t>
    </r>
  </si>
  <si>
    <t>Д р у г и   у с л у г и:</t>
  </si>
  <si>
    <r>
      <t xml:space="preserve"> </t>
    </r>
    <r>
      <rPr>
        <b/>
        <sz val="11"/>
        <rFont val="Arial Cyr"/>
        <family val="2"/>
      </rPr>
      <t>Финансов анализ</t>
    </r>
    <r>
      <rPr>
        <sz val="11"/>
        <rFont val="Arial Cyr"/>
        <family val="2"/>
      </rPr>
      <t xml:space="preserve"> за определен период от време - на български, английски, немски, руски, турски и гръцки език. Необходима информация: баланс, ОПР и отчет за паричния поток.</t>
    </r>
  </si>
  <si>
    <t>30  за       един език</t>
  </si>
  <si>
    <t xml:space="preserve"> Обобщаване на  еднотипни  форми  с  отчети  и  разчети</t>
  </si>
  <si>
    <t>по догов.</t>
  </si>
  <si>
    <t xml:space="preserve"> При изменение на нормативната уредба актуализация се извършва срещу заплащане, което зависи</t>
  </si>
  <si>
    <t xml:space="preserve"> от значимостта на промените. За програмните продукти, закупени до 24 месеца актуализацията е</t>
  </si>
  <si>
    <t xml:space="preserve"> безплатна.</t>
  </si>
  <si>
    <r>
      <t xml:space="preserve"> Обслужваща банка: </t>
    </r>
    <r>
      <rPr>
        <sz val="10"/>
        <rFont val="Arial Cyr"/>
        <family val="0"/>
      </rPr>
      <t>УНИ КРЕДИТ БУЛБАНК</t>
    </r>
    <r>
      <rPr>
        <sz val="11"/>
        <rFont val="Arial Cyr"/>
        <family val="2"/>
      </rPr>
      <t xml:space="preserve"> - гр. Пловдив ул."Бетовен" 2</t>
    </r>
  </si>
  <si>
    <r>
      <t>IBAN</t>
    </r>
    <r>
      <rPr>
        <sz val="12"/>
        <rFont val="Arial"/>
        <family val="2"/>
      </rPr>
      <t xml:space="preserve">:  BG82 UNCR 7527 1083 5259 18        </t>
    </r>
    <r>
      <rPr>
        <b/>
        <sz val="12"/>
        <rFont val="Arial"/>
        <family val="2"/>
      </rPr>
      <t>BIC</t>
    </r>
    <r>
      <rPr>
        <sz val="12"/>
        <rFont val="Arial"/>
        <family val="2"/>
      </rPr>
      <t xml:space="preserve"> код:  UNCR BGSF</t>
    </r>
  </si>
  <si>
    <r>
      <t xml:space="preserve"> Настоящата  оферта  е  </t>
    </r>
    <r>
      <rPr>
        <b/>
        <sz val="11"/>
        <rFont val="Arial Cyr"/>
        <family val="2"/>
      </rPr>
      <t>валидна  до  30.09.2008 година.</t>
    </r>
  </si>
  <si>
    <r>
      <t>С наши програмни продукти работят:</t>
    </r>
    <r>
      <rPr>
        <sz val="10"/>
        <rFont val="Arial Cyr"/>
        <family val="2"/>
      </rPr>
      <t xml:space="preserve">  Булгаргаз, Нефтохим, Топенерджи, ЛУКойл, Росбулнефт, Оргахим,</t>
    </r>
  </si>
  <si>
    <t>Пасиви (дългосрочни и краткосрочни)</t>
  </si>
  <si>
    <t>че този край може да е много близо.</t>
  </si>
  <si>
    <t xml:space="preserve">    Банкрутът  е  спиране  на  плащанията, но все още  не  означава, че  те</t>
  </si>
  <si>
    <t>Мярка</t>
  </si>
  <si>
    <t>Базисен период</t>
  </si>
  <si>
    <t>Анализиран период</t>
  </si>
  <si>
    <t>Х.лв.</t>
  </si>
  <si>
    <t>Активи общо</t>
  </si>
  <si>
    <t>2а</t>
  </si>
  <si>
    <r>
      <t>Активи общо</t>
    </r>
    <r>
      <rPr>
        <sz val="9"/>
        <rFont val="Arial Cyr"/>
        <family val="2"/>
      </rPr>
      <t xml:space="preserve"> - корегирани с  дните за периода</t>
    </r>
  </si>
  <si>
    <t>Неразпределена печалба</t>
  </si>
  <si>
    <t>Счетоводна печалба (+), загуба (-)</t>
  </si>
  <si>
    <t>Стойност на общия дълг</t>
  </si>
  <si>
    <t>A1_Баланс</t>
  </si>
  <si>
    <t xml:space="preserve"> обратно придобиване на ценни книжа</t>
  </si>
  <si>
    <t xml:space="preserve">   в  т.ч. :   по ЗУНК</t>
  </si>
  <si>
    <t xml:space="preserve"> Отсрочени данъци</t>
  </si>
  <si>
    <r>
      <t xml:space="preserve"> Положителни разлики от операции</t>
    </r>
    <r>
      <rPr>
        <sz val="9"/>
        <color indexed="12"/>
        <rFont val="Arial"/>
        <family val="2"/>
      </rPr>
      <t xml:space="preserve"> с финансови активи и инструменти</t>
    </r>
  </si>
  <si>
    <t>2-1730</t>
  </si>
  <si>
    <t>2-1740</t>
  </si>
  <si>
    <t>2-1745</t>
  </si>
  <si>
    <t xml:space="preserve"> 7. Други парични потоци от финанс. дейност</t>
  </si>
  <si>
    <r>
      <t xml:space="preserve"> Вс. парични потоци от финанс.  дейност </t>
    </r>
    <r>
      <rPr>
        <b/>
        <sz val="8"/>
        <rFont val="Arial"/>
        <family val="2"/>
      </rPr>
      <t>(В)</t>
    </r>
  </si>
  <si>
    <t xml:space="preserve"> Г. Изменение на паричните средства</t>
  </si>
  <si>
    <r>
      <t xml:space="preserve"> през периода (</t>
    </r>
    <r>
      <rPr>
        <b/>
        <sz val="9"/>
        <rFont val="Arial"/>
        <family val="2"/>
      </rPr>
      <t>А + Б + В</t>
    </r>
    <r>
      <rPr>
        <sz val="9"/>
        <rFont val="Arial"/>
        <family val="0"/>
      </rPr>
      <t>)</t>
    </r>
  </si>
  <si>
    <t>Текущи задължения                        (4+5+6)</t>
  </si>
  <si>
    <t>Парични средства и еквиваленти</t>
  </si>
  <si>
    <t>(Попълнете само информацията, която не е отразена в баланса)</t>
  </si>
  <si>
    <r>
      <t xml:space="preserve">Печалба от обичайната дейност     </t>
    </r>
    <r>
      <rPr>
        <sz val="11"/>
        <rFont val="Arial Cyr"/>
        <family val="2"/>
      </rPr>
      <t xml:space="preserve"> (1-2)</t>
    </r>
  </si>
  <si>
    <t>Рентабилност от дейността                  (3/9)</t>
  </si>
  <si>
    <t>Обща рентабилност                               (5/9)</t>
  </si>
  <si>
    <t>Чиста рентабилност                               (6/9)</t>
  </si>
  <si>
    <t>Рентабилност на капитала                  (8/14)</t>
  </si>
  <si>
    <t>Рентабилност на собствеността        (8/15)</t>
  </si>
  <si>
    <t>Рентабилност на пасивите                  (8/16)</t>
  </si>
  <si>
    <t>Оперативна възвръщаемост на активите   (4/14)</t>
  </si>
  <si>
    <r>
      <t>Възвръщаемост</t>
    </r>
    <r>
      <rPr>
        <sz val="10"/>
        <rFont val="Arial Cyr"/>
        <family val="0"/>
      </rPr>
      <t xml:space="preserve"> на собствения капитал  (8/15)</t>
    </r>
  </si>
  <si>
    <t>Обремененост от извънредни статии (8/7)</t>
  </si>
  <si>
    <r>
      <t>Обремененост от</t>
    </r>
    <r>
      <rPr>
        <sz val="10"/>
        <rFont val="Arial Cyr"/>
        <family val="0"/>
      </rPr>
      <t xml:space="preserve"> малцинствено участие (7/6)</t>
    </r>
  </si>
  <si>
    <t xml:space="preserve"> Суми с корективен характер</t>
  </si>
  <si>
    <t xml:space="preserve"> Балансова стойност на продадени активи ( без продукция)</t>
  </si>
  <si>
    <t xml:space="preserve"> Приплоди и приръст на животни</t>
  </si>
  <si>
    <t xml:space="preserve"> Други суми с корективен характер</t>
  </si>
  <si>
    <t xml:space="preserve"> Финансови разходи</t>
  </si>
  <si>
    <t xml:space="preserve"> Разходи за лихви</t>
  </si>
  <si>
    <t xml:space="preserve"> Отрицателни разлики от промяна на валутни курсове</t>
  </si>
  <si>
    <t xml:space="preserve"> Други разходи по финансови операции</t>
  </si>
  <si>
    <t>Г</t>
  </si>
  <si>
    <t>Е</t>
  </si>
  <si>
    <t>на капитала се финансира</t>
  </si>
  <si>
    <t xml:space="preserve">1. </t>
  </si>
  <si>
    <t xml:space="preserve">2. </t>
  </si>
  <si>
    <t>Финансов резултат -</t>
  </si>
  <si>
    <t>лева  собствен капитал, което</t>
  </si>
  <si>
    <t>е   с</t>
  </si>
  <si>
    <t>лева   или</t>
  </si>
  <si>
    <t>в  сравнение  с  предходната година.</t>
  </si>
  <si>
    <t xml:space="preserve">  Основни   фактори,  оказали   влияние   за </t>
  </si>
  <si>
    <t>на  този  показател</t>
  </si>
  <si>
    <t>Предх.</t>
  </si>
  <si>
    <t>р-ка</t>
  </si>
  <si>
    <t>Пункта</t>
  </si>
  <si>
    <t>като цяло спрямо базисния период са:</t>
  </si>
  <si>
    <t>Димитър Динев, Финансов мениджмънт с микрокомпютър, DDC, 1994г.</t>
  </si>
  <si>
    <t>Ричард  Добинс и  Стефан  Уит, Практически съвети по финансов мениджмънт,</t>
  </si>
  <si>
    <r>
      <t xml:space="preserve"> 6. </t>
    </r>
    <r>
      <rPr>
        <sz val="10"/>
        <rFont val="Arial"/>
        <family val="2"/>
      </rPr>
      <t>Последващи</t>
    </r>
    <r>
      <rPr>
        <sz val="9"/>
        <rFont val="Arial"/>
        <family val="2"/>
      </rPr>
      <t xml:space="preserve"> оценки на фин.активи и инструменти</t>
    </r>
  </si>
  <si>
    <r>
      <t xml:space="preserve"> 7. </t>
    </r>
    <r>
      <rPr>
        <sz val="10"/>
        <rFont val="Arial"/>
        <family val="2"/>
      </rPr>
      <t>Промени</t>
    </r>
    <r>
      <rPr>
        <sz val="9"/>
        <rFont val="Arial"/>
        <family val="2"/>
      </rPr>
      <t xml:space="preserve"> в счетоводната политика, грешки и др.</t>
    </r>
  </si>
  <si>
    <t>Бърза  ликвидност      (2+3+4)/6</t>
  </si>
  <si>
    <t>Абсолютна ликвидност           4/6</t>
  </si>
  <si>
    <t>Ликвидност на текущите задължения</t>
  </si>
  <si>
    <r>
      <t xml:space="preserve">Обща ликвидност  (1+2+3+4)/8       </t>
    </r>
    <r>
      <rPr>
        <b/>
        <sz val="12"/>
        <rFont val="Arial Cyr"/>
        <family val="2"/>
      </rPr>
      <t>&gt;=1</t>
    </r>
  </si>
  <si>
    <t>Бърза  ликвидност      (2+3+4)/8</t>
  </si>
  <si>
    <t>Абсолютна ликвидност           4/8</t>
  </si>
  <si>
    <t>Платежоспособност</t>
  </si>
  <si>
    <t>Платежоспособност (2+3+4)/6</t>
  </si>
  <si>
    <t>през отчетния период при</t>
  </si>
  <si>
    <t>през базисния период, което е с</t>
  </si>
  <si>
    <t>пункта</t>
  </si>
  <si>
    <t>на този показател</t>
  </si>
  <si>
    <t>спрямо базисния период са:</t>
  </si>
  <si>
    <t>Основни парични потоци</t>
  </si>
  <si>
    <t>новището на банките за отпускане на кредити. Въпреки това, той не може да се  разглежда</t>
  </si>
  <si>
    <t>като най-доброто мерило за финансовия успех на  бизнеса.</t>
  </si>
  <si>
    <t xml:space="preserve">     Отрицателният  паричен  поток  не  винаги  е  нещо  лошо, защото  той  може  да  е</t>
  </si>
  <si>
    <t>резултат от закупуване на стоки, инвестиране на пари в оборудване, дялови участия, акции</t>
  </si>
  <si>
    <t xml:space="preserve"> Факторен анализ на коефициентите</t>
  </si>
  <si>
    <t xml:space="preserve"> ОБЩО РАЗХОДИ ЗА ДЕЙНОСТТА (I + II + III)</t>
  </si>
  <si>
    <t xml:space="preserve"> ПЕЧАЛБА ОТ ОБИЧАЙНА ДЕЙНОСТ</t>
  </si>
  <si>
    <t xml:space="preserve"> Извънредни разходи</t>
  </si>
  <si>
    <t xml:space="preserve"> Разходи за данъци</t>
  </si>
  <si>
    <r>
      <t xml:space="preserve">      - </t>
    </r>
    <r>
      <rPr>
        <sz val="11"/>
        <color indexed="12"/>
        <rFont val="Arial"/>
        <family val="2"/>
      </rPr>
      <t>Други</t>
    </r>
  </si>
  <si>
    <t xml:space="preserve"> Услуги</t>
  </si>
  <si>
    <t xml:space="preserve"> Други</t>
  </si>
  <si>
    <t xml:space="preserve"> Приходи от финансирания</t>
  </si>
  <si>
    <t>Паричен оборот                                      (4/7)</t>
  </si>
  <si>
    <t>Защитен интервал в дни                      (7/16)</t>
  </si>
  <si>
    <t>Норма на паричния поток                      (9/4)</t>
  </si>
  <si>
    <t>Възвръщаемост на паричния поток   (9/10)</t>
  </si>
  <si>
    <t xml:space="preserve">     Приходите  от  обичайната  дейност  са</t>
  </si>
  <si>
    <t xml:space="preserve"> хил. лева,</t>
  </si>
  <si>
    <t>или с</t>
  </si>
  <si>
    <r>
      <t>докато</t>
    </r>
    <r>
      <rPr>
        <sz val="11"/>
        <rFont val="Arial Cyr"/>
        <family val="2"/>
      </rPr>
      <t xml:space="preserve"> краткосрочните вземания</t>
    </r>
  </si>
  <si>
    <t>Тази</t>
  </si>
  <si>
    <t>тенденция  може  да  се приеме  като</t>
  </si>
  <si>
    <t>за  развитието  на  фирмата.</t>
  </si>
  <si>
    <t>дейност  е  резултат  на  това, че  фирмата  има</t>
  </si>
  <si>
    <t>риални запаси и длъжници.</t>
  </si>
  <si>
    <t xml:space="preserve">     Коефициентът на вземанията към задълженията  е</t>
  </si>
  <si>
    <t>или</t>
  </si>
  <si>
    <t>базисния  период.  Този  коефициент   показва,  че  на  всеки  100  единици</t>
  </si>
  <si>
    <t>получен  кредит  от  доставчиците си, фирмата предоставя</t>
  </si>
  <si>
    <t>единици  кредит  на</t>
  </si>
  <si>
    <t>клиентите си.</t>
  </si>
  <si>
    <t xml:space="preserve">    През   анализирания   период   среднодневните   приходи   възлизат   на</t>
  </si>
  <si>
    <t>хил.лева., или с</t>
  </si>
  <si>
    <t>от среднодневните разходи за същия пери-</t>
  </si>
  <si>
    <t>од  и</t>
  </si>
  <si>
    <t xml:space="preserve">хил.лева </t>
  </si>
  <si>
    <t>от среднодневните приходи през базисния период.</t>
  </si>
  <si>
    <t xml:space="preserve">     Средната продължителност на кредита , който фирмата получава от доставчиците е</t>
  </si>
  <si>
    <t>дни, или с</t>
  </si>
  <si>
    <t>дни</t>
  </si>
  <si>
    <t>от средната продължителност на отпуска-</t>
  </si>
  <si>
    <t>ния  от  фирмата  кредит на своите клиенти  и  с</t>
  </si>
  <si>
    <t xml:space="preserve">дни </t>
  </si>
  <si>
    <t>спрямо</t>
  </si>
  <si>
    <t>същия показател през базисния период.</t>
  </si>
  <si>
    <t xml:space="preserve">  Ако се използува средния паричен цикъл на фирмата</t>
  </si>
  <si>
    <t>дни може  да  се  на-</t>
  </si>
  <si>
    <t>прави извода,  че   за   всеки 100  лева продажби са били  необходими</t>
  </si>
  <si>
    <t>оборотен капитал, докато през базисния период за тази цел са били неообходими</t>
  </si>
  <si>
    <t>лева.</t>
  </si>
  <si>
    <t xml:space="preserve">   Ако  фирмата  запази  този  паричен  цикъл  и  планира  нарастване  на   продажбите</t>
  </si>
  <si>
    <t>с  1 млн. лева, задължително трябва да  осигури</t>
  </si>
  <si>
    <t>лева  допълнителен   оборотен</t>
  </si>
  <si>
    <t>капитал в подкрепа на този ръст.</t>
  </si>
  <si>
    <r>
      <t xml:space="preserve">   Величината на </t>
    </r>
    <r>
      <rPr>
        <sz val="11"/>
        <rFont val="Arial Cyr"/>
        <family val="0"/>
      </rPr>
      <t>паричния оборот</t>
    </r>
    <r>
      <rPr>
        <sz val="11"/>
        <rFont val="Arial Cyr"/>
        <family val="2"/>
      </rPr>
      <t xml:space="preserve">  през  анализирания  период  е</t>
    </r>
  </si>
  <si>
    <t>броя</t>
  </si>
  <si>
    <t>през  базисния  период. Това  е скоростта,  с  която  парите  циркулират   в</t>
  </si>
  <si>
    <t>фирмата. Колкото е по-голямо числото на паричния оборот, толкова е  по-бързо  циркулира-</t>
  </si>
  <si>
    <t>нето на парите и при всеки завършен оборот се увеличава печалбата на фирмата.</t>
  </si>
  <si>
    <t xml:space="preserve">    Ако приемем, че по някави причини паричния поток или източниците  на кредити  за</t>
  </si>
  <si>
    <t>фирмата бъдат прекратени, то нейното оцеляване ще бъде ограничено в рамките на защит-</t>
  </si>
  <si>
    <t xml:space="preserve">ния интервал, който за анализирания  период  е </t>
  </si>
  <si>
    <t xml:space="preserve">    Като заменим печалбата от оперативната дейност  с  паричния поток  от  дейността,</t>
  </si>
  <si>
    <t>ще  получим  нормата  на  паричния  поток.  За  фирмата,  през  анализирания  период   този</t>
  </si>
  <si>
    <t>показател     е</t>
  </si>
  <si>
    <t>от базисния период.</t>
  </si>
  <si>
    <t xml:space="preserve">   Възвръщяемостта  на  активите   на   база   паричен   поток   е </t>
  </si>
  <si>
    <t>, което</t>
  </si>
  <si>
    <t>е    с</t>
  </si>
  <si>
    <t>от базисния  период и показва  каква  е  била  способността  на</t>
  </si>
  <si>
    <t>фирмата  да  извлича  положителна  парична  възвръщаемост  от  използваните  активи.</t>
  </si>
  <si>
    <t xml:space="preserve"> Д. УСЛОВНИ ПАСИВИ</t>
  </si>
  <si>
    <t/>
  </si>
  <si>
    <t>Обръщаемост на вземанията         (1/4)</t>
  </si>
  <si>
    <t>9</t>
  </si>
  <si>
    <t>Среден  срок  за  събиране  на  взема-</t>
  </si>
  <si>
    <t>нията  в  дни         (4/1*дните в периода)</t>
  </si>
  <si>
    <t>10</t>
  </si>
  <si>
    <t>Обръщаемост на мат.запаси          (1/5)</t>
  </si>
  <si>
    <t>Разходи за материали</t>
  </si>
  <si>
    <t>пункта  или</t>
  </si>
  <si>
    <t xml:space="preserve">     Р е н т а б и л н о с т т а       н а       п а с и в и т е</t>
  </si>
  <si>
    <t xml:space="preserve"> п а с и в и т е    р е н т а б и л н о с т т а</t>
  </si>
  <si>
    <t>вия   резултат   рентабилността   се</t>
  </si>
  <si>
    <t xml:space="preserve">     Коефициентът   на   капитализация   на   активите</t>
  </si>
  <si>
    <t>Наименование на фирмите:</t>
  </si>
  <si>
    <t xml:space="preserve"> Вземания от клиенти и доставчици</t>
  </si>
  <si>
    <t xml:space="preserve"> Вземания по предоставени търговски заеми</t>
  </si>
  <si>
    <t xml:space="preserve"> Съдебни и присъдени вземания</t>
  </si>
  <si>
    <t xml:space="preserve"> Данъци за възстановяване</t>
  </si>
  <si>
    <t xml:space="preserve"> Други краткосрочни вземания</t>
  </si>
  <si>
    <t xml:space="preserve"> Краткосрочни финансови активи</t>
  </si>
  <si>
    <t xml:space="preserve"> Изкупени собствени дългови ценни книжа</t>
  </si>
  <si>
    <t xml:space="preserve"> Краткосрочни ценни книжа</t>
  </si>
  <si>
    <t xml:space="preserve"> Други краткосрочни финансови активи</t>
  </si>
  <si>
    <t xml:space="preserve"> Парични средства в брой</t>
  </si>
  <si>
    <t xml:space="preserve"> Парични средства в безсрочни депозити</t>
  </si>
  <si>
    <t xml:space="preserve"> Блокирани парични средства</t>
  </si>
  <si>
    <t xml:space="preserve"> Парични еквиваленти</t>
  </si>
  <si>
    <t xml:space="preserve"> Други парични средства</t>
  </si>
  <si>
    <t>B</t>
  </si>
  <si>
    <t xml:space="preserve"> УСЛОВНИ АКТИВИ</t>
  </si>
  <si>
    <t xml:space="preserve"> СОБСТВЕН КАПИТАЛ</t>
  </si>
  <si>
    <t xml:space="preserve"> Основен капитал</t>
  </si>
  <si>
    <t xml:space="preserve"> Невнесен капитал</t>
  </si>
  <si>
    <t>А</t>
  </si>
  <si>
    <t xml:space="preserve"> Резерви</t>
  </si>
  <si>
    <t xml:space="preserve"> Резерв от последващи оценки на активите и пасивите</t>
  </si>
  <si>
    <t xml:space="preserve"> Премии от емисии</t>
  </si>
  <si>
    <t xml:space="preserve"> Целеви резерви</t>
  </si>
  <si>
    <t xml:space="preserve"> Финансов резултат</t>
  </si>
  <si>
    <t xml:space="preserve"> Натрупана печалба (загуба)</t>
  </si>
  <si>
    <t xml:space="preserve"> Текуща печалба (загуба)</t>
  </si>
  <si>
    <t>Безплатна</t>
  </si>
  <si>
    <t>поддръжка и актуализация до</t>
  </si>
  <si>
    <t>1-0041</t>
  </si>
  <si>
    <t>1-0042</t>
  </si>
  <si>
    <t>1-0044</t>
  </si>
  <si>
    <t>1-0045</t>
  </si>
  <si>
    <t>1-0046</t>
  </si>
  <si>
    <t>1- 0100</t>
  </si>
  <si>
    <t xml:space="preserve"> НЕТЕКУЩИ (ДЪЛГОТРАЙНИ) АКТИВИ</t>
  </si>
  <si>
    <t xml:space="preserve"> ТЕКУЩИ (КРАТКОТРАЙНИ) АКТИВИ</t>
  </si>
  <si>
    <t>1-0071</t>
  </si>
  <si>
    <t>1-0072</t>
  </si>
  <si>
    <t>1-0073</t>
  </si>
  <si>
    <t>1-0076</t>
  </si>
  <si>
    <t xml:space="preserve"> Биологични активи</t>
  </si>
  <si>
    <t>1-0074</t>
  </si>
  <si>
    <t>1-0077</t>
  </si>
  <si>
    <t>1- 0070</t>
  </si>
  <si>
    <t>1-0081</t>
  </si>
  <si>
    <t>1-0075</t>
  </si>
  <si>
    <t>1-0082</t>
  </si>
  <si>
    <t>1-0083</t>
  </si>
  <si>
    <t>1-0084</t>
  </si>
  <si>
    <t>1-0085</t>
  </si>
  <si>
    <t>1- 0080</t>
  </si>
  <si>
    <t xml:space="preserve"> Финансови активи, държани за търгуване</t>
  </si>
  <si>
    <t xml:space="preserve"> Финансови активи, обявени за продажба</t>
  </si>
  <si>
    <t>1-0093-4</t>
  </si>
  <si>
    <t>1-0095</t>
  </si>
  <si>
    <t>1- 0090</t>
  </si>
  <si>
    <t>1-0151</t>
  </si>
  <si>
    <t>1-0153</t>
  </si>
  <si>
    <t>1-0155</t>
  </si>
  <si>
    <t>1-0157</t>
  </si>
  <si>
    <t>1- 0150</t>
  </si>
  <si>
    <t>1- 0160</t>
  </si>
  <si>
    <t>1- 0300</t>
  </si>
  <si>
    <t>1- 0200</t>
  </si>
  <si>
    <t>1-0417</t>
  </si>
  <si>
    <t>1-0416</t>
  </si>
  <si>
    <t>1- 0410</t>
  </si>
  <si>
    <t xml:space="preserve"> Изкупени собствени обикновени акции</t>
  </si>
  <si>
    <t xml:space="preserve"> Изкупени собствени привилегировани акции</t>
  </si>
  <si>
    <t>1-0417-1</t>
  </si>
  <si>
    <t>1-0421</t>
  </si>
  <si>
    <t>1-0422</t>
  </si>
  <si>
    <t>1-0423</t>
  </si>
  <si>
    <t>1-0424</t>
  </si>
  <si>
    <t>1-0425</t>
  </si>
  <si>
    <t>1-0426</t>
  </si>
  <si>
    <t>1- 0420</t>
  </si>
  <si>
    <t>1-0451</t>
  </si>
  <si>
    <t>1-0452</t>
  </si>
  <si>
    <t>1-0453</t>
  </si>
  <si>
    <t xml:space="preserve">           - еднократен ефект от промени в счетоводната политика</t>
  </si>
  <si>
    <t xml:space="preserve">           - непокрита загуба</t>
  </si>
  <si>
    <t>в  т.ч. : - неразпределена печалба</t>
  </si>
  <si>
    <t>1-0451-1</t>
  </si>
  <si>
    <t>1-0454/55</t>
  </si>
  <si>
    <t>1- 0450</t>
  </si>
  <si>
    <t>1- 0400</t>
  </si>
  <si>
    <t xml:space="preserve"> НЕТЕКУЩИ (ДЪЛГОСРОЧНИ) ПАСИВИ</t>
  </si>
  <si>
    <t>1-0511</t>
  </si>
  <si>
    <t xml:space="preserve"> МАЛЦИНСТВЕНО УЧАСТИЕ</t>
  </si>
  <si>
    <t>1- 0400-1</t>
  </si>
  <si>
    <t>Сума на пасива (А+Б+В+Г)</t>
  </si>
  <si>
    <t>1-0512</t>
  </si>
  <si>
    <t>1-0514</t>
  </si>
  <si>
    <t>1-0515</t>
  </si>
  <si>
    <t>1-0517</t>
  </si>
  <si>
    <t>1- 0510</t>
  </si>
  <si>
    <t>1- 0520/1</t>
  </si>
  <si>
    <t>1- 0500</t>
  </si>
  <si>
    <t xml:space="preserve"> ТЕКУЩИ (КРАТКОСРОЧНИ) ПАСИВИ</t>
  </si>
  <si>
    <t>1-0612</t>
  </si>
  <si>
    <t>Основни изводи от финансовия анализ</t>
  </si>
  <si>
    <t>че  на  фона  на  една  благоприятна   капиталова  структура   и   една   правилно  подбрана</t>
  </si>
  <si>
    <r>
      <t xml:space="preserve">     Изводи  от  анализа  на  </t>
    </r>
    <r>
      <rPr>
        <u val="single"/>
        <sz val="11"/>
        <rFont val="Arial Cyr"/>
        <family val="2"/>
      </rPr>
      <t>ефективността  на  разходите</t>
    </r>
    <r>
      <rPr>
        <sz val="11"/>
        <rFont val="Arial Cyr"/>
        <family val="2"/>
      </rPr>
      <t>:</t>
    </r>
  </si>
  <si>
    <t>Ефективността  на  всеки   1 лв.  разходи</t>
  </si>
  <si>
    <t>лв.  или</t>
  </si>
  <si>
    <t>Нарастването     на    приходите</t>
  </si>
  <si>
    <t>Разходите     на     всеки   1  лв.    приходи</t>
  </si>
  <si>
    <t xml:space="preserve">     и незавършено производство</t>
  </si>
  <si>
    <r>
      <t>25</t>
    </r>
    <r>
      <rPr>
        <sz val="9"/>
        <rFont val="Arial Cyr"/>
        <family val="0"/>
      </rPr>
      <t xml:space="preserve"> за един език</t>
    </r>
  </si>
  <si>
    <r>
      <t xml:space="preserve">Финансов анализ  </t>
    </r>
    <r>
      <rPr>
        <sz val="11"/>
        <rFont val="Arial Cyr"/>
        <family val="2"/>
      </rPr>
      <t xml:space="preserve">-  на база на информация от баланса и ОПР изготвя таблици  и  диаграми за неограничен брой периоди или фирми. Може да се ползва от </t>
    </r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</si>
  <si>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</si>
  <si>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</si>
  <si>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</si>
  <si>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</si>
  <si>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</si>
  <si>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</si>
  <si>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</si>
  <si>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>1-0420</t>
  </si>
  <si>
    <t xml:space="preserve">4. Други </t>
  </si>
  <si>
    <t>III. Финансов резултат</t>
  </si>
  <si>
    <t>Общо за група IV:</t>
  </si>
  <si>
    <t xml:space="preserve"> В офертата са посочени крайните цени на продуктите. Фактурата, която ще получите ще бъде</t>
  </si>
  <si>
    <t xml:space="preserve"> опростена.  Посочените  цени  са  валидни  при  покупка  на  програмите от офиса на фирмата</t>
  </si>
  <si>
    <t xml:space="preserve"> доставчик  или  по E-mail. За  останалите  случаи   допълнително  се  заплащат транспортни и</t>
  </si>
  <si>
    <t xml:space="preserve"> други  разходи  по  доставката.</t>
  </si>
  <si>
    <t xml:space="preserve"> Важат, когато се ползват само от един определен офис, независимо от броя на работните места.</t>
  </si>
  <si>
    <t xml:space="preserve"> Доработки  на  програмни  продукти  по  специфични  изисквания  на  потребителя, в т.ч. и  за</t>
  </si>
  <si>
    <t xml:space="preserve"> работа  в  повече  от  една фирма или офис  се  заплащат  по  договореност.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</si>
  <si>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</si>
  <si>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</si>
  <si>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</si>
  <si>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</si>
  <si>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</si>
  <si>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</si>
  <si>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</si>
  <si>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</si>
  <si>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</si>
  <si>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</si>
  <si>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</si>
  <si>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</si>
  <si>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</si>
  <si>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</si>
  <si>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</si>
  <si>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</si>
  <si>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</si>
  <si>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</si>
  <si>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</si>
  <si>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</si>
  <si>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</si>
  <si>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</si>
  <si>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</si>
  <si>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</si>
  <si>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</si>
  <si>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</si>
  <si>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</si>
  <si>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</si>
  <si>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</si>
  <si>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</si>
  <si>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</si>
  <si>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>Нетна загуба за периоода</t>
  </si>
  <si>
    <r>
      <t>Дял на печалбата на асоцииран</t>
    </r>
    <r>
      <rPr>
        <sz val="8"/>
        <rFont val="Arial Cyr"/>
        <family val="0"/>
      </rPr>
      <t>и и съвместни</t>
    </r>
    <r>
      <rPr>
        <sz val="7"/>
        <rFont val="Arial Cyr"/>
        <family val="0"/>
      </rPr>
      <t xml:space="preserve"> предприятия</t>
    </r>
  </si>
  <si>
    <r>
      <t>Дял на загубата на асоциирани и съвместни</t>
    </r>
    <r>
      <rPr>
        <sz val="7"/>
        <rFont val="Arial Cyr"/>
        <family val="0"/>
      </rPr>
      <t xml:space="preserve"> предприятия</t>
    </r>
  </si>
  <si>
    <t>Нетна загуба за периода</t>
  </si>
  <si>
    <t>ност    на    вземанията</t>
  </si>
  <si>
    <t xml:space="preserve">  този    период    с</t>
  </si>
  <si>
    <t xml:space="preserve"> п р о д а ж б и т е</t>
  </si>
  <si>
    <t xml:space="preserve">    Информация   за   изменение   на   останалите  показатели,  тяхната  динамика    и</t>
  </si>
  <si>
    <t>факторите,  оказали   влияние  за   изменението   им   може  да  получите  от   предходната</t>
  </si>
  <si>
    <t>и  следващата  таблица   или   от  другите  раздели  на  анализа.</t>
  </si>
  <si>
    <t>данъчно облагане се явяват изплатените на държавата данъци, които са:</t>
  </si>
  <si>
    <t>теми, или маркирани от вас области на анализа.</t>
  </si>
  <si>
    <t>Разходи за обичайната дейност</t>
  </si>
  <si>
    <t>нение    с    финансовия    резултат    от    дейността     и    с</t>
  </si>
  <si>
    <t xml:space="preserve">     Това</t>
  </si>
  <si>
    <t>се    дължи    на    реализираните</t>
  </si>
  <si>
    <t>извън-</t>
  </si>
  <si>
    <t>редни приходи спрямо отчетените извънредни разходи.</t>
  </si>
  <si>
    <t>Счетоводен баланс</t>
  </si>
  <si>
    <t>РАЗДЕЛИ, ГРУПИ, СТАТИИ</t>
  </si>
  <si>
    <t>Сума (хил. лв.)</t>
  </si>
  <si>
    <t>Текуща</t>
  </si>
  <si>
    <t>година</t>
  </si>
  <si>
    <t>Предходна</t>
  </si>
  <si>
    <t>извод  за  ефективността  от  дейността  на  фирмата  и  от  смисъла  да  се  купуват  нейни</t>
  </si>
  <si>
    <t>Анализ на материалните запаси</t>
  </si>
  <si>
    <t>Налични краткотрайни активи (8-9)</t>
  </si>
  <si>
    <t>Текущи задължения (11+15)</t>
  </si>
  <si>
    <t>Коеф. на капитализация на активите (1/5)</t>
  </si>
  <si>
    <t>Коеф. на ефективност на разходите (6/7)</t>
  </si>
  <si>
    <t>Коеф. на ефективност на приходите (7/6)</t>
  </si>
  <si>
    <t>Коеф. на обща ликвидност                 (10/11)</t>
  </si>
  <si>
    <t>Коеф. на бърза ликвидност   (12+13+14)/11</t>
  </si>
  <si>
    <t>Коеф. на незабавна ликвидност (13+14)/16</t>
  </si>
  <si>
    <t>Коеф. на абсолютна ликвидност       (14/16)</t>
  </si>
  <si>
    <t>в дни (17*21/2)</t>
  </si>
  <si>
    <t>Брой на оборотите (2/17)</t>
  </si>
  <si>
    <r>
      <t>Коеф.</t>
    </r>
    <r>
      <rPr>
        <sz val="10"/>
        <rFont val="Arial Cyr"/>
        <family val="2"/>
      </rPr>
      <t xml:space="preserve"> на заетост на материалните запаси (17/2)</t>
    </r>
  </si>
  <si>
    <t>от клиенти в дни (18*21/2)</t>
  </si>
  <si>
    <t>към доставчици в дни (19*21/20)</t>
  </si>
  <si>
    <t xml:space="preserve"> активите</t>
  </si>
  <si>
    <t>Структура на разходите в ОПР</t>
  </si>
  <si>
    <t>Структура на приходите в ОПР</t>
  </si>
  <si>
    <t>Амортизации, лихви, данъци и финанасов резултат</t>
  </si>
  <si>
    <t>От основна дейност</t>
  </si>
  <si>
    <t>За основна дейност</t>
  </si>
  <si>
    <t>акции.  Интересът  на  всеки  бъдещ  акционер  е  да  вложи  парите  си  във  фирмата  само</t>
  </si>
  <si>
    <t>ако  те  му  носят  по- висок  доход  от  лихвите  на  банката.</t>
  </si>
  <si>
    <t>възлиза     на</t>
  </si>
  <si>
    <t>Счетоводна къща "Аскана", София, 1995г.</t>
  </si>
  <si>
    <t>Кирил Тодоров "10+1 БИЗНЕСПЛАНА за стартиране на собствен бизнес",</t>
  </si>
  <si>
    <t>"Фотон - 93", София, 1996г.</t>
  </si>
  <si>
    <t>Михаел Колберг, Бизнесприложения с EXCEL и LOTUS 1-2-3, Ню Текник Пъб-</t>
  </si>
  <si>
    <t>лишинг, ООД, 1996г.</t>
  </si>
  <si>
    <t>Боб Вос, Корпоративен анализ - пътеводител; "Класика и Стил" ООД, София 2001г.</t>
  </si>
  <si>
    <t xml:space="preserve"> Общ капиталов ресурс</t>
  </si>
  <si>
    <t xml:space="preserve"> Постоянен капитал</t>
  </si>
  <si>
    <t xml:space="preserve"> Чужд капитал</t>
  </si>
  <si>
    <t xml:space="preserve"> Нетен оборотен (работен) капитал</t>
  </si>
  <si>
    <t xml:space="preserve"> Общ размер на дълга</t>
  </si>
  <si>
    <t>Задължения към персонала и осигуритрлни предприятия</t>
  </si>
  <si>
    <t xml:space="preserve"> Нетен размер на приходите от продажби</t>
  </si>
  <si>
    <t xml:space="preserve"> Приходи от обичайната дейност</t>
  </si>
  <si>
    <t xml:space="preserve"> Разходи за обичайната дейност</t>
  </si>
  <si>
    <t xml:space="preserve"> Печалба от обичайната дейност</t>
  </si>
  <si>
    <t xml:space="preserve"> Печалба преди лихви и данъци</t>
  </si>
  <si>
    <t xml:space="preserve"> Счетоводна печалба /преди данъчно облагане/</t>
  </si>
  <si>
    <t xml:space="preserve"> Балансова печалба  /след данъчно облагане/</t>
  </si>
  <si>
    <t xml:space="preserve"> Нетна печалба за периода</t>
  </si>
  <si>
    <t xml:space="preserve"> Неразпределена печалба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</si>
  <si>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</si>
  <si>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</si>
  <si>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</si>
  <si>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</si>
  <si>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</si>
  <si>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</si>
  <si>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</si>
  <si>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</si>
  <si>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</si>
  <si>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</si>
  <si>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</si>
  <si>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</si>
  <si>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</si>
  <si>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</si>
  <si>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</si>
  <si>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1-0510-2</t>
  </si>
  <si>
    <t>4. Незавършено производство</t>
  </si>
  <si>
    <t xml:space="preserve">3. Текущи задължения, в т.ч.:  </t>
  </si>
  <si>
    <t>1-0630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</si>
  <si>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</si>
  <si>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</si>
  <si>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</si>
  <si>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</si>
  <si>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>1-0070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</si>
  <si>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</si>
  <si>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</si>
  <si>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</si>
  <si>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</si>
  <si>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</si>
  <si>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</si>
  <si>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</si>
  <si>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</si>
  <si>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</si>
  <si>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</si>
  <si>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</si>
  <si>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</si>
  <si>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</si>
  <si>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</si>
  <si>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1-0610</t>
  </si>
  <si>
    <t>6. Данъци за възстановяване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</si>
  <si>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</si>
  <si>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</si>
  <si>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</si>
  <si>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</si>
  <si>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</si>
  <si>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</si>
  <si>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</si>
  <si>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</si>
  <si>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</si>
  <si>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</si>
  <si>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</si>
  <si>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</si>
  <si>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</si>
  <si>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</si>
  <si>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</si>
  <si>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</si>
  <si>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</si>
  <si>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</si>
  <si>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</si>
  <si>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</si>
  <si>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</si>
  <si>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</si>
  <si>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</si>
  <si>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</si>
  <si>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</si>
  <si>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</si>
  <si>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програма  (дневна, седмична, десетдневна, месечна, тримесечна, годишна) за</t>
  </si>
  <si>
    <t>обема на незавършеното производство и оборотните средства.</t>
  </si>
  <si>
    <t>които са обусловени от растежа на фирмата.</t>
  </si>
  <si>
    <t xml:space="preserve"> отрицателни валутни курсови разлики</t>
  </si>
  <si>
    <t>год.</t>
  </si>
  <si>
    <t>Пункта:</t>
  </si>
  <si>
    <t xml:space="preserve">%    </t>
  </si>
  <si>
    <r>
      <t>фин. резултат от текущата</t>
    </r>
    <r>
      <rPr>
        <sz val="9"/>
        <rFont val="Arial Cyr"/>
        <family val="2"/>
      </rPr>
      <t xml:space="preserve"> периоди</t>
    </r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</si>
  <si>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</si>
  <si>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</si>
  <si>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</si>
  <si>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</si>
  <si>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</si>
  <si>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</si>
  <si>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</si>
  <si>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</si>
  <si>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</si>
  <si>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</si>
  <si>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</si>
  <si>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</si>
  <si>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</si>
  <si>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</si>
  <si>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</si>
  <si>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 xml:space="preserve">     Фирменият  банкрут  е изражение на срива в производството, управлени-</t>
  </si>
  <si>
    <t>няма  да  се  осъществят и  то  с  помощта на ликвидните активи на фирмата.</t>
  </si>
  <si>
    <t>фалират  или  биват  поглъщани, защото  нямат  парични средства, за да плащат</t>
  </si>
  <si>
    <t xml:space="preserve">  Датата, към която е изготвен баланса се намира в клетка А4 ( а не в</t>
  </si>
  <si>
    <r>
      <t xml:space="preserve">2000 и 2005 година, запишете ги в клетки  </t>
    </r>
    <r>
      <rPr>
        <b/>
        <sz val="11"/>
        <rFont val="Arial Cyr"/>
        <family val="2"/>
      </rPr>
      <t>В7 и С7</t>
    </r>
    <r>
      <rPr>
        <sz val="11"/>
        <rFont val="Arial Cyr"/>
        <family val="2"/>
      </rPr>
      <t xml:space="preserve"> (Баланс); </t>
    </r>
    <r>
      <rPr>
        <b/>
        <sz val="11"/>
        <rFont val="Arial Cyr"/>
        <family val="0"/>
      </rPr>
      <t>К253</t>
    </r>
    <r>
      <rPr>
        <sz val="11"/>
        <rFont val="Arial Cyr"/>
        <family val="2"/>
      </rPr>
      <t xml:space="preserve"> и </t>
    </r>
    <r>
      <rPr>
        <b/>
        <sz val="11"/>
        <rFont val="Arial Cyr"/>
        <family val="0"/>
      </rPr>
      <t>N253</t>
    </r>
    <r>
      <rPr>
        <sz val="11"/>
        <rFont val="Arial Cyr"/>
        <family val="2"/>
      </rPr>
      <t xml:space="preserve"> (ОПП).</t>
    </r>
  </si>
  <si>
    <t>При инсталиране програмата  се настройва на место за  отпечатване на определен</t>
  </si>
  <si>
    <t>драйвер на принтер (по ваш избор). Ако  смените печатащото устройство  е  необходима</t>
  </si>
  <si>
    <t>нова настройка.</t>
  </si>
  <si>
    <t>Не ползвайте програми, които не  са  инсталирани  от  фирмата  доставчик -</t>
  </si>
  <si>
    <t>значителна точност очакваното развитие на фирмата в дългосрочен и краткосрочен план.</t>
  </si>
  <si>
    <t>N: по       ред</t>
  </si>
  <si>
    <t>(+) увеличение               (-) намаление</t>
  </si>
  <si>
    <t xml:space="preserve"> 8. Други изменения в собствения капитал</t>
  </si>
  <si>
    <t xml:space="preserve"> Салдо към края на отчетния период</t>
  </si>
  <si>
    <t xml:space="preserve"> 9. Промени от преводи на годишни финан-</t>
  </si>
  <si>
    <t xml:space="preserve"> сови отчети на предприятията в чужбина</t>
  </si>
  <si>
    <t xml:space="preserve"> 10. Промени от преизчисляване на финан-</t>
  </si>
  <si>
    <t xml:space="preserve">       сови отчети при свръхинфлация</t>
  </si>
  <si>
    <t xml:space="preserve"> Преизчислен собствен капитал към края</t>
  </si>
  <si>
    <t>Продължителност на краткосрочните</t>
  </si>
  <si>
    <t xml:space="preserve">     На    1 лев    от    собствения    капитал    се    пада</t>
  </si>
  <si>
    <t>лева външни дълго-</t>
  </si>
  <si>
    <t>срочни    задължения,   което    е    с</t>
  </si>
  <si>
    <t>М  а  т  е  р  и  а  л  н  и</t>
  </si>
  <si>
    <t>з  а  п  а  с  и</t>
  </si>
  <si>
    <t>Финансови</t>
  </si>
  <si>
    <t xml:space="preserve">     Един  лев  външни  дългосрочни   задължения   се  покрива    с</t>
  </si>
  <si>
    <t>лева</t>
  </si>
  <si>
    <t>казатели,  показващи  ефективността  на  извършените  разходи.</t>
  </si>
  <si>
    <t xml:space="preserve">     Резултатите    от    анализа     показват</t>
  </si>
  <si>
    <t>дейността    и    разходите    за    дейността   (</t>
  </si>
  <si>
    <t>)   изразява      достигнатата</t>
  </si>
  <si>
    <t xml:space="preserve"> 4. Разходи за възнаграждения</t>
  </si>
  <si>
    <t xml:space="preserve"> 5. Разходи за осигуровки</t>
  </si>
  <si>
    <t xml:space="preserve"> 6. Други разходи</t>
  </si>
  <si>
    <t xml:space="preserve">   в  т.ч. :  - обезценка на активи</t>
  </si>
  <si>
    <t xml:space="preserve">                 - провизии</t>
  </si>
  <si>
    <t>Н А И М Е Н О В А Н И Е</t>
  </si>
  <si>
    <t>Н А</t>
  </si>
  <si>
    <t>Р А З Х О Д И Т Е</t>
  </si>
  <si>
    <t xml:space="preserve"> II. Суми с корективен характер</t>
  </si>
  <si>
    <t xml:space="preserve"> 4. Приплоди и приръст на животни</t>
  </si>
  <si>
    <t>Възнаграждения и осигуровки</t>
  </si>
  <si>
    <t xml:space="preserve">    дълготрайни материални активи</t>
  </si>
  <si>
    <t xml:space="preserve"> 2. Програмни продукти</t>
  </si>
  <si>
    <t xml:space="preserve"> 3. Продукти от развойна дейност</t>
  </si>
  <si>
    <t xml:space="preserve">Общо за група II : </t>
  </si>
  <si>
    <t xml:space="preserve"> III. Дългосрочни финансови активи</t>
  </si>
  <si>
    <t xml:space="preserve"> 1. Дялове и участия:</t>
  </si>
  <si>
    <t xml:space="preserve"> 2. Инвестиционни имоти</t>
  </si>
  <si>
    <t xml:space="preserve"> 3. Други дългосрочни ценни книжа</t>
  </si>
  <si>
    <t xml:space="preserve"> 4. Дългосрочни вземания</t>
  </si>
  <si>
    <t xml:space="preserve">   в  т.ч. в :   - дъщерни предприятия</t>
  </si>
  <si>
    <t xml:space="preserve">                     - смесени предприятия</t>
  </si>
  <si>
    <t xml:space="preserve">                     - асоциирани предприятия</t>
  </si>
  <si>
    <t xml:space="preserve">                     - други предприятия</t>
  </si>
  <si>
    <t xml:space="preserve">   в  т.ч. от :  - свързани предприятия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</si>
  <si>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</si>
  <si>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</si>
  <si>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</si>
  <si>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</si>
  <si>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</si>
  <si>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</si>
  <si>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</si>
  <si>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</si>
  <si>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</si>
  <si>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</si>
  <si>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</si>
  <si>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</si>
  <si>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</si>
  <si>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>фин. резултат от текущ. период</t>
  </si>
  <si>
    <t>сбор собствен капитал:</t>
  </si>
  <si>
    <t>дългосрочните пасиви</t>
  </si>
  <si>
    <t>краткосрочните пасиви</t>
  </si>
  <si>
    <t>Всичко:</t>
  </si>
  <si>
    <t>Краткосрочни пасиви</t>
  </si>
  <si>
    <t>сбор привлечен капитал:</t>
  </si>
  <si>
    <t xml:space="preserve">     Един     лев     от     краткосрочните     задължения     се     покрива     с</t>
  </si>
  <si>
    <t>лева  собствен  оборотен  капитал,  което   е   с</t>
  </si>
  <si>
    <t>лева  или</t>
  </si>
  <si>
    <t>от предходната година.</t>
  </si>
  <si>
    <t>Печалба преди извънредни статии</t>
  </si>
  <si>
    <t xml:space="preserve">     Отношението   между   дългосрочната   задлъжняемост   и   собствения  капитал  е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</si>
  <si>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</si>
  <si>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</si>
  <si>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</si>
  <si>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</si>
  <si>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</si>
  <si>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</si>
  <si>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</si>
  <si>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 xml:space="preserve">        финансови бюлетини и списания, които обобщават опита на развитите пазарни икономики в областта на: акционерното инвестиране, финансово -</t>
  </si>
  <si>
    <t xml:space="preserve">       кредитните и лизинговите операции; данък добавена стойност; амортизации; лихвени и дисконтни операции; погасителни планове, анюитетни разчети и др.</t>
  </si>
  <si>
    <t>Съкратен вариант</t>
  </si>
  <si>
    <t>E. Печалба след облагане с данъци (Д - V)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</si>
  <si>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</si>
  <si>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</si>
  <si>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</si>
  <si>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</si>
  <si>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</si>
  <si>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</si>
  <si>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 xml:space="preserve">Ж. Нетна загуба за периода </t>
  </si>
  <si>
    <t>2-0455-2</t>
  </si>
  <si>
    <t>Всичко (Г+ V + Е):</t>
  </si>
  <si>
    <t>Всичко (Г + E):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</si>
  <si>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</si>
  <si>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</si>
  <si>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</si>
  <si>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</si>
  <si>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</si>
  <si>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</si>
  <si>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</si>
  <si>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</si>
  <si>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</si>
  <si>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НЕК, АЕЦ "Козлодуй", Мини Перник, ВМЗ, Арсенал, Главболгарстрой, Техноекспортстрой, Агропроект, КРЗ "Одесос",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</si>
  <si>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</si>
  <si>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</si>
  <si>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</si>
  <si>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</si>
  <si>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r>
      <t xml:space="preserve">гиринг </t>
    </r>
    <r>
      <rPr>
        <sz val="11"/>
        <rFont val="Arial Cyr"/>
        <family val="2"/>
      </rPr>
      <t xml:space="preserve"> или </t>
    </r>
    <r>
      <rPr>
        <b/>
        <u val="single"/>
        <sz val="11"/>
        <rFont val="Arial Cyr"/>
        <family val="2"/>
      </rPr>
      <t>лийвъридж</t>
    </r>
    <r>
      <rPr>
        <sz val="11"/>
        <rFont val="Arial Cyr"/>
        <family val="2"/>
      </rPr>
      <t xml:space="preserve">  (виж N: 27  на горната таблица). В числителя на това съотношение-</t>
    </r>
  </si>
  <si>
    <t xml:space="preserve"> 6. Парични средства от основна дейност</t>
  </si>
  <si>
    <t xml:space="preserve"> 7. Намаление на паричните средства от :</t>
  </si>
  <si>
    <t xml:space="preserve">     а) плащания за данъци от печалбата</t>
  </si>
  <si>
    <t xml:space="preserve">     б) плащания при разпределение на печалби</t>
  </si>
  <si>
    <t xml:space="preserve"> Б. ПАРИЧНИ ПОТОЦИ ОТ ИНВЕСТИЦИОННА ДЕЙНОСТ</t>
  </si>
  <si>
    <t xml:space="preserve"> 1. Приходи и разходи, посочени в отчета за приходите и раз-</t>
  </si>
  <si>
    <t>Икономическа рентабилност           (13/4)</t>
  </si>
  <si>
    <t xml:space="preserve"> 1. Финансов резултат - печалба/загуба</t>
  </si>
  <si>
    <t>нение    с    финансовия    резултат    преди    данъчно   облагане   и     с</t>
  </si>
  <si>
    <t>Кредитен рейтинг и кредитоспособност</t>
  </si>
  <si>
    <t>хил. лв</t>
  </si>
  <si>
    <t>от  базисния  период   или</t>
  </si>
  <si>
    <r>
      <t xml:space="preserve">     </t>
    </r>
    <r>
      <rPr>
        <b/>
        <u val="single"/>
        <sz val="11"/>
        <rFont val="Arial Cyr"/>
        <family val="2"/>
      </rPr>
      <t>Нетният  финансов   резултат</t>
    </r>
    <r>
      <rPr>
        <sz val="11"/>
        <rFont val="Arial Cyr"/>
        <family val="2"/>
      </rPr>
      <t xml:space="preserve">   (след    данъчно    облагане)    за    анализирания</t>
    </r>
  </si>
  <si>
    <t>хил.лв.</t>
  </si>
  <si>
    <t xml:space="preserve">  в   срав-</t>
  </si>
  <si>
    <t>от  базисния   период   или</t>
  </si>
  <si>
    <t>З а д ъ л ж е н и я  к ъ м :</t>
  </si>
  <si>
    <t>Персонала</t>
  </si>
  <si>
    <t>Анализ на ефективността на капитала</t>
  </si>
  <si>
    <t xml:space="preserve">Собствен капитал </t>
  </si>
  <si>
    <t xml:space="preserve">Дългосрочни заеми </t>
  </si>
  <si>
    <t>финансово здраве.</t>
  </si>
  <si>
    <t>на финансовите показатели към</t>
  </si>
  <si>
    <t>С  ъ  д  ъ  р  ж  а  н  и  е:</t>
  </si>
  <si>
    <t>страница:</t>
  </si>
  <si>
    <t xml:space="preserve"> Анализ на собствеността и капиталовата структура</t>
  </si>
  <si>
    <t xml:space="preserve"> Анализ на имуществената структура</t>
  </si>
  <si>
    <t xml:space="preserve"> Анализ на финансовото равновесие</t>
  </si>
  <si>
    <t xml:space="preserve"> Анализ на ликвидността и платежоспособността</t>
  </si>
  <si>
    <t xml:space="preserve"> Анализ на дълга на фирмата</t>
  </si>
  <si>
    <t xml:space="preserve"> Анализ на краткосрочните задължения на фирмата</t>
  </si>
  <si>
    <r>
      <t xml:space="preserve">       През   анализираният   период   </t>
    </r>
    <r>
      <rPr>
        <u val="single"/>
        <sz val="11"/>
        <rFont val="Arial Cyr"/>
        <family val="0"/>
      </rPr>
      <t>задълженията</t>
    </r>
    <r>
      <rPr>
        <sz val="11"/>
        <rFont val="Arial Cyr"/>
        <family val="2"/>
      </rPr>
      <t xml:space="preserve">   възлизат   на </t>
    </r>
  </si>
  <si>
    <r>
      <t xml:space="preserve">на   </t>
    </r>
    <r>
      <rPr>
        <u val="single"/>
        <sz val="11"/>
        <rFont val="Arial Cyr"/>
        <family val="0"/>
      </rPr>
      <t>вземанията</t>
    </r>
    <r>
      <rPr>
        <sz val="11"/>
        <rFont val="Arial Cyr"/>
        <family val="2"/>
      </rPr>
      <t xml:space="preserve">  има</t>
    </r>
  </si>
  <si>
    <r>
      <t xml:space="preserve">на   </t>
    </r>
    <r>
      <rPr>
        <u val="single"/>
        <sz val="11"/>
        <rFont val="Arial Cyr"/>
        <family val="0"/>
      </rPr>
      <t>материалните запаси</t>
    </r>
    <r>
      <rPr>
        <sz val="11"/>
        <rFont val="Arial Cyr"/>
        <family val="2"/>
      </rPr>
      <t xml:space="preserve">   има</t>
    </r>
  </si>
  <si>
    <t xml:space="preserve">   в  т.ч.   лихви към свързани предприятия</t>
  </si>
  <si>
    <t xml:space="preserve"> В. ПЕЧАЛБА ОТ ОБИЧАЙНА ДЕЙНОСТ</t>
  </si>
  <si>
    <t xml:space="preserve"> IV. Извънредни разходи</t>
  </si>
  <si>
    <t xml:space="preserve"> Д. СЧЕТОВОДНА ПЕЧАЛБА</t>
  </si>
  <si>
    <t>II.  Изходящ  паричен  поток      (В + Г)</t>
  </si>
  <si>
    <t xml:space="preserve"> В.  За дългосрочни позиции</t>
  </si>
  <si>
    <t>Навнесен капитал</t>
  </si>
  <si>
    <r>
      <t xml:space="preserve"> Всички програмни продукти работят на </t>
    </r>
    <r>
      <rPr>
        <b/>
        <sz val="11"/>
        <rFont val="Arial Cyr"/>
        <family val="2"/>
      </rPr>
      <t>Excel</t>
    </r>
    <r>
      <rPr>
        <sz val="11"/>
        <rFont val="Arial Cyr"/>
        <family val="2"/>
      </rPr>
      <t>.</t>
    </r>
  </si>
  <si>
    <t xml:space="preserve"> Име на получателя: ЕТ "Дайк - Георги Мичев" - гр. Пловдив</t>
  </si>
  <si>
    <t>показател за финансовия риск, с който се  сблъсква   фирмата  или   отделен  нейн  проект.</t>
  </si>
  <si>
    <t>240                    за един език</t>
  </si>
  <si>
    <r>
      <t>100</t>
    </r>
    <r>
      <rPr>
        <sz val="11"/>
        <rFont val="Arial Cyr"/>
        <family val="2"/>
      </rPr>
      <t xml:space="preserve"> </t>
    </r>
    <r>
      <rPr>
        <sz val="9"/>
        <rFont val="Arial Cyr"/>
        <family val="0"/>
      </rPr>
      <t xml:space="preserve">за стари клиени                  </t>
    </r>
    <r>
      <rPr>
        <sz val="11"/>
        <rFont val="Arial Cyr"/>
        <family val="0"/>
      </rPr>
      <t>240</t>
    </r>
    <r>
      <rPr>
        <sz val="9"/>
        <rFont val="Arial Cyr"/>
        <family val="0"/>
      </rPr>
      <t xml:space="preserve"> за нови клиенти     </t>
    </r>
  </si>
  <si>
    <r>
      <t>Финансов анализ</t>
    </r>
    <r>
      <rPr>
        <sz val="11"/>
        <rFont val="Arial Cyr"/>
        <family val="2"/>
      </rPr>
      <t xml:space="preserve"> за 2 години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- на база на информация от баланса, ОПР, отчета за паричния поток и в съответствие с изискванията на международните и НСС редактира автоматизирано текстови коментар, таблици  и  диаграми на български, английски, немски, руски, турски и гръцки език, в размер на 56 страници.</t>
    </r>
  </si>
  <si>
    <r>
      <t>Финансов анализ</t>
    </r>
    <r>
      <rPr>
        <sz val="11"/>
        <rFont val="Arial"/>
        <family val="2"/>
      </rPr>
      <t>, адаптиран по счетоводните форми, утвърдени от Комисията за финансов надзор (</t>
    </r>
    <r>
      <rPr>
        <sz val="11"/>
        <color indexed="50"/>
        <rFont val="Arial"/>
        <family val="2"/>
      </rPr>
      <t>попълват се само от българските публични дружества</t>
    </r>
    <r>
      <rPr>
        <sz val="11"/>
        <rFont val="Arial"/>
        <family val="2"/>
      </rPr>
      <t xml:space="preserve">) . Необходимата информация за анализа се копира от тези форми в програмата. Това позволява за времетраене  от 1 до 2 минути  да се редактира в съответствие с изискванията на международните и НСС  текстови коментар, таблици и диаграми в обем от 56 страници. </t>
    </r>
  </si>
  <si>
    <t>паричен поток от инвестиционна дейност</t>
  </si>
  <si>
    <t>Дълготрайни активи - относителен дял към активите</t>
  </si>
  <si>
    <t>Норма  на  финансова  възвръщаемост</t>
  </si>
  <si>
    <t>Приходи</t>
  </si>
  <si>
    <t>Разходи</t>
  </si>
  <si>
    <t>П Р И Х О Д И Т Е</t>
  </si>
  <si>
    <t>рискувате изчисленията да бъдат с много грешки. За някои от тях ще има съобщение.</t>
  </si>
  <si>
    <t>Може да копирате баланса, ОПР, ОПП и Отчета за собствен капитал от един файл</t>
  </si>
  <si>
    <t>в друг. Например от файл "Anal_6_2002"  в  "Anal_0".</t>
  </si>
  <si>
    <t>Това става така:</t>
  </si>
  <si>
    <t>Търговска репутация</t>
  </si>
  <si>
    <t xml:space="preserve">Всичко: </t>
  </si>
  <si>
    <t xml:space="preserve">Всичко разходи за дейността: </t>
  </si>
  <si>
    <r>
      <t>Счетоводна печалба</t>
    </r>
    <r>
      <rPr>
        <sz val="9"/>
        <rFont val="Arial Cyr"/>
        <family val="2"/>
      </rPr>
      <t xml:space="preserve">  /преди данъчно облагане/</t>
    </r>
  </si>
  <si>
    <r>
      <t>Балансова печалба</t>
    </r>
    <r>
      <rPr>
        <sz val="10"/>
        <rFont val="Arial Cyr"/>
        <family val="2"/>
      </rPr>
      <t xml:space="preserve">  /след данъчно облагане/</t>
    </r>
  </si>
  <si>
    <t>Нетен поток от инвестиционна дейност (Б):</t>
  </si>
  <si>
    <t xml:space="preserve">     Паричният  поток,  за  разлика  от  паричните  наличности,  е   процес   на   вливане</t>
  </si>
  <si>
    <t>фирмата.</t>
  </si>
  <si>
    <t xml:space="preserve">     Положителният паричен поток, т.е. превишението на постъпленията над разходите</t>
  </si>
  <si>
    <t>е естествен резултат на нормалната стопанска дейност. Той е предпоставка за оцеляването</t>
  </si>
  <si>
    <t>сметките си.</t>
  </si>
  <si>
    <t xml:space="preserve">    Фирмите  не  фалират  непременно, защото  не  реализират  печалба; те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</si>
  <si>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</si>
  <si>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</si>
  <si>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</si>
  <si>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</si>
  <si>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</si>
  <si>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</si>
  <si>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</si>
  <si>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</si>
  <si>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</si>
  <si>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</si>
  <si>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</si>
  <si>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</si>
  <si>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</si>
  <si>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</si>
  <si>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</si>
  <si>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</si>
  <si>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</si>
  <si>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</si>
  <si>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</si>
  <si>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</si>
  <si>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</si>
  <si>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</si>
  <si>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</si>
  <si>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</si>
  <si>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10. Други постъпления/ плащания от инвестиционна дейност</t>
  </si>
  <si>
    <t xml:space="preserve"> От менюто натиснете върху "А6_Доп_информация" и попълнете сините клетки.</t>
  </si>
  <si>
    <t xml:space="preserve">     Факторите,      оказали      влияние     за </t>
  </si>
  <si>
    <t xml:space="preserve"> 8. Други парични потоци от основна дейност</t>
  </si>
  <si>
    <r>
      <t xml:space="preserve"> Всичко парични потоци от осн. дейност </t>
    </r>
    <r>
      <rPr>
        <b/>
        <sz val="8"/>
        <rFont val="Arial"/>
        <family val="2"/>
      </rPr>
      <t>(А)</t>
    </r>
  </si>
  <si>
    <t>Б. ПАРИЧНИ ПОТОЦИ ОТ ИНВЕСТ. ДЕЙНОСТ</t>
  </si>
  <si>
    <t xml:space="preserve"> 1. Паричните потоци, свързани с дълго-</t>
  </si>
  <si>
    <t xml:space="preserve"> трайни активи</t>
  </si>
  <si>
    <t xml:space="preserve"> 3. Паричните потоци, свързани с лихви,</t>
  </si>
  <si>
    <r>
      <t xml:space="preserve"> Вс. парични потоци от инвест. дейност </t>
    </r>
    <r>
      <rPr>
        <b/>
        <sz val="8"/>
        <rFont val="Arial"/>
        <family val="2"/>
      </rPr>
      <t>(Б)</t>
    </r>
  </si>
  <si>
    <t xml:space="preserve"> хил. лв.  за  базисния  период   и</t>
  </si>
  <si>
    <t xml:space="preserve"> хил. лв. за анализирания период</t>
  </si>
  <si>
    <r>
      <t xml:space="preserve"> </t>
    </r>
    <r>
      <rPr>
        <sz val="10"/>
        <rFont val="Arial"/>
        <family val="2"/>
      </rPr>
      <t>СЧЕТОВОДНА</t>
    </r>
    <r>
      <rPr>
        <sz val="9"/>
        <rFont val="Arial"/>
        <family val="0"/>
      </rPr>
      <t xml:space="preserve"> ПЕЧАЛБА</t>
    </r>
    <r>
      <rPr>
        <sz val="8"/>
        <rFont val="Arial"/>
        <family val="2"/>
      </rPr>
      <t xml:space="preserve"> - </t>
    </r>
    <r>
      <rPr>
        <sz val="9"/>
        <rFont val="Arial"/>
        <family val="2"/>
      </rPr>
      <t>преди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облагане</t>
    </r>
    <r>
      <rPr>
        <sz val="8"/>
        <rFont val="Arial"/>
        <family val="2"/>
      </rPr>
      <t xml:space="preserve"> с данъци и извънредни статии</t>
    </r>
  </si>
  <si>
    <t xml:space="preserve">     в) задължения за финансова дейност</t>
  </si>
  <si>
    <t xml:space="preserve">     г) паричните капиталовложения (от собствениците)</t>
  </si>
  <si>
    <t>и  парични  средства)  на   фирмата  към  нейните  краткосрочни  задължения   е</t>
  </si>
  <si>
    <t xml:space="preserve"> Собствен капитал</t>
  </si>
  <si>
    <t xml:space="preserve"> Дългосрочни заеми</t>
  </si>
  <si>
    <r>
      <t xml:space="preserve"> Външни дългосрочни задължения</t>
    </r>
    <r>
      <rPr>
        <sz val="10"/>
        <rFont val="Arial Cyr"/>
        <family val="0"/>
      </rPr>
      <t xml:space="preserve"> (2+3+4+5)</t>
    </r>
  </si>
  <si>
    <r>
      <t xml:space="preserve"> Постоянен капитал</t>
    </r>
    <r>
      <rPr>
        <sz val="11"/>
        <rFont val="Arial Cyr"/>
        <family val="2"/>
      </rPr>
      <t xml:space="preserve"> (1+6)</t>
    </r>
  </si>
  <si>
    <t xml:space="preserve"> Дълготрайни активи</t>
  </si>
  <si>
    <t xml:space="preserve"> Краткотрайни активи</t>
  </si>
  <si>
    <t xml:space="preserve"> Налични краткотрайни активи (9-10)</t>
  </si>
  <si>
    <r>
      <t xml:space="preserve"> Нетен </t>
    </r>
    <r>
      <rPr>
        <sz val="11"/>
        <rFont val="Arial Cyr"/>
        <family val="0"/>
      </rPr>
      <t>оборотен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0"/>
      </rPr>
      <t>работен</t>
    </r>
    <r>
      <rPr>
        <sz val="10"/>
        <rFont val="Arial Cyr"/>
        <family val="0"/>
      </rPr>
      <t xml:space="preserve">) </t>
    </r>
    <r>
      <rPr>
        <b/>
        <sz val="10"/>
        <rFont val="Arial Cyr"/>
        <family val="0"/>
      </rPr>
      <t>капитал</t>
    </r>
    <r>
      <rPr>
        <sz val="10"/>
        <rFont val="Arial Cyr"/>
        <family val="0"/>
      </rPr>
      <t xml:space="preserve"> (9-12)  &gt;0</t>
    </r>
  </si>
  <si>
    <t xml:space="preserve"> Сума на баланса (капитал всичко)</t>
  </si>
  <si>
    <t>задълженията    на    фирмата.   Може    да    се    счита,   че    това     е     симптоматично</t>
  </si>
  <si>
    <t xml:space="preserve">     Ликвидността  изразена в коефициент от отношението на наличните краткотрайни</t>
  </si>
  <si>
    <t>рентабилност)         е</t>
  </si>
  <si>
    <t>след   облагане   с    данъци    и   нетния   размер   на    приходите    от    продажби   (чиста</t>
  </si>
  <si>
    <t>период.    От    съпоставянето    на    тази    рентабилност   на   активите     с     капитализи-</t>
  </si>
  <si>
    <t>на   фирмата   при   рентабилността   на   собствеността   се   съпоставят   доходи   с   вло-</t>
  </si>
  <si>
    <r>
      <t xml:space="preserve">те задължения (11/10)                   </t>
    </r>
    <r>
      <rPr>
        <b/>
        <sz val="12"/>
        <rFont val="Arial Cyr"/>
        <family val="2"/>
      </rPr>
      <t>&gt;=2</t>
    </r>
  </si>
  <si>
    <r>
      <t xml:space="preserve">пасиви (5/7)                                    </t>
    </r>
    <r>
      <rPr>
        <b/>
        <sz val="12"/>
        <rFont val="Arial Cyr"/>
        <family val="2"/>
      </rPr>
      <t>&gt;=1</t>
    </r>
  </si>
  <si>
    <r>
      <t xml:space="preserve">материални активи </t>
    </r>
    <r>
      <rPr>
        <sz val="9"/>
        <rFont val="Arial Cyr"/>
        <family val="2"/>
      </rPr>
      <t>със собствен капитал (5/14)</t>
    </r>
  </si>
  <si>
    <t>активи със собствен капитал (5/6)</t>
  </si>
  <si>
    <t>основния капитал</t>
  </si>
  <si>
    <t xml:space="preserve">Основен  капитал </t>
  </si>
  <si>
    <t xml:space="preserve">Резерви </t>
  </si>
  <si>
    <t>капитал (11/5)</t>
  </si>
  <si>
    <t>Видове активи</t>
  </si>
  <si>
    <r>
      <t>Дълготр.</t>
    </r>
    <r>
      <rPr>
        <sz val="10"/>
        <rFont val="Arial Cyr"/>
        <family val="2"/>
      </rPr>
      <t xml:space="preserve"> и краткотр. активи</t>
    </r>
  </si>
  <si>
    <t>А. Дълготрайни активи</t>
  </si>
  <si>
    <t>Структура на приходите от ОПР</t>
  </si>
  <si>
    <t>Дълготрайни нематериални активи</t>
  </si>
  <si>
    <t>Дългосрочни финансови активи</t>
  </si>
  <si>
    <t xml:space="preserve">  Наличност  на   парични   средства   към</t>
  </si>
  <si>
    <t>ето  и  финансирането. Това  е  вече  финалната  фаза  на фалита. Банкрутът  или</t>
  </si>
  <si>
    <r>
      <t xml:space="preserve"> ходите - като </t>
    </r>
    <r>
      <rPr>
        <sz val="11"/>
        <rFont val="Arial"/>
        <family val="2"/>
      </rPr>
      <t>компенсиран</t>
    </r>
    <r>
      <rPr>
        <sz val="10"/>
        <rFont val="Arial"/>
        <family val="2"/>
      </rPr>
      <t xml:space="preserve"> финансов резултат от инвест. дейност</t>
    </r>
  </si>
  <si>
    <t xml:space="preserve"> 2. Изменение на:</t>
  </si>
  <si>
    <t>Ликвидност:</t>
  </si>
  <si>
    <t>Финансова автономност:</t>
  </si>
  <si>
    <t>Коеф. на финансова автономност (3/4)</t>
  </si>
  <si>
    <t>Коеф. на задлъжнялост                  (4/3)</t>
  </si>
  <si>
    <t>Обръщаемост на материалните краткотрайни активи:</t>
  </si>
  <si>
    <t>Времетраене  на  един  оборот</t>
  </si>
  <si>
    <t>Взамания и погасяване на задълженията:</t>
  </si>
  <si>
    <t>Програмата за финансов анализ е лицензирана на:</t>
  </si>
  <si>
    <r>
      <t xml:space="preserve"> 3. </t>
    </r>
    <r>
      <rPr>
        <sz val="9"/>
        <rFont val="Arial"/>
        <family val="2"/>
      </rPr>
      <t>Вземания по предоставени търговски заеми</t>
    </r>
  </si>
  <si>
    <r>
      <t xml:space="preserve"> 1. </t>
    </r>
    <r>
      <rPr>
        <sz val="10"/>
        <rFont val="Arial"/>
        <family val="2"/>
      </rPr>
      <t>Финансови активи</t>
    </r>
    <r>
      <rPr>
        <sz val="9"/>
        <rFont val="Arial"/>
        <family val="2"/>
      </rPr>
      <t xml:space="preserve"> в свързани предприятия</t>
    </r>
  </si>
  <si>
    <r>
      <t xml:space="preserve"> 2. </t>
    </r>
    <r>
      <rPr>
        <sz val="10"/>
        <rFont val="Arial"/>
        <family val="2"/>
      </rPr>
      <t>Изкупени собствени дългови ценни книжа</t>
    </r>
  </si>
  <si>
    <t>през   базисния</t>
  </si>
  <si>
    <r>
      <t xml:space="preserve">период.    От    съпоставянето    на    тази    </t>
    </r>
    <r>
      <rPr>
        <b/>
        <u val="single"/>
        <sz val="11"/>
        <rFont val="Arial Cyr"/>
        <family val="2"/>
      </rPr>
      <t>рентабилност  на  активите</t>
    </r>
    <r>
      <rPr>
        <sz val="11"/>
        <rFont val="Arial Cyr"/>
        <family val="2"/>
      </rPr>
      <t xml:space="preserve">    с    капитализи-</t>
    </r>
  </si>
  <si>
    <t>рания   лихвен   процент   на    банката    за   съответния   период   може    да    се   направи</t>
  </si>
  <si>
    <r>
      <t xml:space="preserve"> Дял на печалбата на асоциирани</t>
    </r>
    <r>
      <rPr>
        <sz val="10"/>
        <rFont val="Arial"/>
        <family val="2"/>
      </rPr>
      <t xml:space="preserve"> и съвместни предприятия</t>
    </r>
  </si>
  <si>
    <t xml:space="preserve"> НЕТНА ПЕЧАЛБА ЗА ПЕРИОДА</t>
  </si>
  <si>
    <t>на   паричната  наличност  през  годината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</si>
  <si>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</si>
  <si>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</si>
  <si>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</si>
  <si>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</si>
  <si>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</t>
  </si>
  <si>
    <t>ните средства на фирмата отнесен към нейните текущи задължения е</t>
  </si>
  <si>
    <t xml:space="preserve">  Нормално е краткосрочното използване на  капитала  да  се  финансира  от  кратко-</t>
  </si>
  <si>
    <t>срочни  източници  на  капитал,  както  и  част от  от печалбата (дългосрочен пасив)  да  се</t>
  </si>
  <si>
    <t xml:space="preserve">      Коефициентът на незабавна ликвидност  през  анализирания  период  е</t>
  </si>
  <si>
    <t xml:space="preserve">      През  анализирания   период  коефициента  за   възвръщаемостта   на   собствения</t>
  </si>
  <si>
    <t>капитал  (нетна   печалба  на  1 лв. собствен   капитал)     е</t>
  </si>
  <si>
    <t xml:space="preserve"> обращаемостта     на      материалните     запаси    с</t>
  </si>
  <si>
    <t>сумата на доставките</t>
  </si>
  <si>
    <t xml:space="preserve">     Рентабилността    на    приходите    от    продажби</t>
  </si>
  <si>
    <t>пункта   или   с</t>
  </si>
  <si>
    <t xml:space="preserve"> Печалбата    на    1 лв.   приходи    от   продажби    нараства     с</t>
  </si>
  <si>
    <t xml:space="preserve"> темпове    спрямо    приходите   от   продажби.    Този</t>
  </si>
  <si>
    <t>Б. Краткотрайни активи</t>
  </si>
  <si>
    <t>Анализ на финансовото равновесие</t>
  </si>
  <si>
    <t>Собствен капитал</t>
  </si>
  <si>
    <t>2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</si>
</sst>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\-mmm\-yyyy"/>
    <numFmt numFmtId="165" formatCode="[$-402]dd\ mmmm\ yyyy\ &quot;г.&quot;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0.0000"/>
    <numFmt numFmtId="172" formatCode="0.00000"/>
    <numFmt numFmtId="173" formatCode="0.000"/>
    <numFmt numFmtId="174" formatCode="d\-mmm\-yy"/>
    <numFmt numFmtId="175" formatCode="[$-402]dd\ mmmm\ yyyy\ &quot;г.&quot;;@"/>
    <numFmt numFmtId="176" formatCode="0.000%"/>
    <numFmt numFmtId="177" formatCode="dd\.mm\.yyyy\ &quot;г.&quot;;@"/>
    <numFmt numFmtId="178" formatCode="_(&quot;$&quot;* #,##0_);_(&quot;$&quot;* \(#,##0\);_(&quot;$&quot;* &quot;-&quot;??_);_(@_)"/>
    <numFmt numFmtId="179" formatCode="d/m/yyyy&quot; &quot;&quot;г.&quot;;@"/>
    <numFmt numFmtId="180" formatCode="dd/mm/yyyy&quot; &quot;&quot;г.&quot;;@"/>
  </numFmts>
  <fonts count="101">
    <font>
      <sz val="11"/>
      <name val="Arial"/>
      <family val="0"/>
    </font>
    <font>
      <sz val="8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sz val="11"/>
      <color indexed="12"/>
      <name val="Arial Cyr"/>
      <family val="2"/>
    </font>
    <font>
      <sz val="11"/>
      <color indexed="8"/>
      <name val="Arial Cyr"/>
      <family val="2"/>
    </font>
    <font>
      <sz val="8"/>
      <color indexed="34"/>
      <name val="Tahoma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Arial Cyr"/>
      <family val="2"/>
    </font>
    <font>
      <sz val="11"/>
      <color indexed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color indexed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"/>
      <color indexed="9"/>
      <name val="Arial Cyr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"/>
      <color indexed="9"/>
      <name val="Arial"/>
      <family val="0"/>
    </font>
    <font>
      <sz val="11"/>
      <color indexed="10"/>
      <name val="Arial"/>
      <family val="0"/>
    </font>
    <font>
      <sz val="9"/>
      <color indexed="12"/>
      <name val="Arial"/>
      <family val="0"/>
    </font>
    <font>
      <sz val="9"/>
      <color indexed="8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u val="single"/>
      <sz val="11"/>
      <name val="Arial Cyr"/>
      <family val="2"/>
    </font>
    <font>
      <sz val="10"/>
      <color indexed="8"/>
      <name val="Arial Cyr"/>
      <family val="2"/>
    </font>
    <font>
      <u val="single"/>
      <sz val="11"/>
      <name val="Arial Cyr"/>
      <family val="2"/>
    </font>
    <font>
      <b/>
      <sz val="26"/>
      <name val="Arial Cyr"/>
      <family val="2"/>
    </font>
    <font>
      <b/>
      <sz val="22"/>
      <name val="Arial Cyr"/>
      <family val="2"/>
    </font>
    <font>
      <b/>
      <sz val="14"/>
      <color indexed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Arial"/>
      <family val="0"/>
    </font>
    <font>
      <b/>
      <u val="single"/>
      <sz val="12"/>
      <color indexed="8"/>
      <name val="Arial Cyr"/>
      <family val="2"/>
    </font>
    <font>
      <sz val="9"/>
      <color indexed="12"/>
      <name val="Arial Cyr"/>
      <family val="2"/>
    </font>
    <font>
      <sz val="8"/>
      <color indexed="8"/>
      <name val="Arial Cyr"/>
      <family val="2"/>
    </font>
    <font>
      <b/>
      <u val="single"/>
      <sz val="12"/>
      <name val="Arial Cyr"/>
      <family val="2"/>
    </font>
    <font>
      <b/>
      <sz val="12"/>
      <color indexed="8"/>
      <name val="Arial Cyr"/>
      <family val="2"/>
    </font>
    <font>
      <u val="single"/>
      <sz val="11"/>
      <color indexed="12"/>
      <name val="Arial Cyr"/>
      <family val="0"/>
    </font>
    <font>
      <u val="single"/>
      <sz val="12"/>
      <name val="Arial Cyr"/>
      <family val="2"/>
    </font>
    <font>
      <sz val="12"/>
      <color indexed="12"/>
      <name val="Arial Cyr"/>
      <family val="0"/>
    </font>
    <font>
      <u val="single"/>
      <sz val="11"/>
      <name val="Arial"/>
      <family val="0"/>
    </font>
    <font>
      <b/>
      <sz val="11"/>
      <color indexed="12"/>
      <name val="Arial Cyr"/>
      <family val="2"/>
    </font>
    <font>
      <u val="single"/>
      <sz val="11"/>
      <color indexed="10"/>
      <name val="Arial Cyr"/>
      <family val="2"/>
    </font>
    <font>
      <u val="single"/>
      <sz val="9"/>
      <color indexed="10"/>
      <name val="Arial Cyr"/>
      <family val="2"/>
    </font>
    <font>
      <sz val="12"/>
      <color indexed="8"/>
      <name val="Arial Cyr"/>
      <family val="2"/>
    </font>
    <font>
      <sz val="9"/>
      <color indexed="10"/>
      <name val="Arial Cyr"/>
      <family val="2"/>
    </font>
    <font>
      <sz val="10"/>
      <color indexed="12"/>
      <name val="Arial"/>
      <family val="0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u val="single"/>
      <sz val="10"/>
      <name val="Arial Cyr"/>
      <family val="0"/>
    </font>
    <font>
      <u val="single"/>
      <sz val="10"/>
      <color indexed="8"/>
      <name val="Arial Cyr"/>
      <family val="2"/>
    </font>
    <font>
      <sz val="8"/>
      <color indexed="12"/>
      <name val="Arial"/>
      <family val="0"/>
    </font>
    <font>
      <sz val="10"/>
      <color indexed="8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color indexed="10"/>
      <name val="Arial"/>
      <family val="0"/>
    </font>
    <font>
      <sz val="7"/>
      <name val="Arial Cyr"/>
      <family val="0"/>
    </font>
    <font>
      <sz val="14"/>
      <color indexed="10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indexed="9"/>
      <name val="Arial"/>
      <family val="0"/>
    </font>
    <font>
      <b/>
      <sz val="11"/>
      <color indexed="8"/>
      <name val="Arial Cyr"/>
      <family val="0"/>
    </font>
    <font>
      <b/>
      <sz val="16"/>
      <color indexed="23"/>
      <name val="Arial Cyr"/>
      <family val="2"/>
    </font>
    <font>
      <b/>
      <sz val="18"/>
      <color indexed="23"/>
      <name val="Arial Cyr"/>
      <family val="2"/>
    </font>
    <font>
      <sz val="14"/>
      <name val="Arial Cyr"/>
      <family val="2"/>
    </font>
    <font>
      <b/>
      <sz val="14"/>
      <color indexed="23"/>
      <name val="Arial Cyr"/>
      <family val="2"/>
    </font>
    <font>
      <sz val="11"/>
      <color indexed="50"/>
      <name val="Arial"/>
      <family val="2"/>
    </font>
    <font>
      <b/>
      <sz val="11"/>
      <color indexed="10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 Cyr"/>
      <family val="2"/>
    </font>
    <font>
      <sz val="9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9" fontId="0" fillId="0" borderId="0" applyFont="0" applyFill="0" applyBorder="0" applyAlignment="0" applyProtection="0"/>
  </cellStyleXfs>
  <cellXfs count="15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164" fontId="5" fillId="0" borderId="0" xfId="0" applyNumberFormat="1" applyFont="1" applyAlignment="1" applyProtection="1">
      <alignment horizontal="centerContinuous"/>
      <protection/>
    </xf>
    <xf numFmtId="0" fontId="0" fillId="0" borderId="3" xfId="0" applyFont="1" applyBorder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/>
    </xf>
    <xf numFmtId="0" fontId="0" fillId="0" borderId="7" xfId="0" applyBorder="1" applyAlignment="1">
      <alignment/>
    </xf>
    <xf numFmtId="0" fontId="8" fillId="0" borderId="2" xfId="0" applyFont="1" applyBorder="1" applyAlignment="1">
      <alignment horizontal="right"/>
    </xf>
    <xf numFmtId="0" fontId="21" fillId="0" borderId="0" xfId="0" applyFont="1" applyAlignment="1" applyProtection="1">
      <alignment horizontal="right"/>
      <protection hidden="1" locked="0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5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/>
      <protection hidden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5" xfId="0" applyFont="1" applyBorder="1" applyAlignment="1">
      <alignment/>
    </xf>
    <xf numFmtId="168" fontId="0" fillId="0" borderId="3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9" fontId="9" fillId="0" borderId="0" xfId="25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38" fillId="0" borderId="10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164" fontId="39" fillId="0" borderId="10" xfId="0" applyNumberFormat="1" applyFont="1" applyBorder="1" applyAlignment="1" applyProtection="1">
      <alignment horizontal="centerContinuous"/>
      <protection/>
    </xf>
    <xf numFmtId="0" fontId="31" fillId="0" borderId="10" xfId="0" applyFont="1" applyBorder="1" applyAlignment="1">
      <alignment horizontal="centerContinuous"/>
    </xf>
    <xf numFmtId="0" fontId="40" fillId="0" borderId="10" xfId="0" applyFont="1" applyBorder="1" applyAlignment="1">
      <alignment horizontal="centerContinuous"/>
    </xf>
    <xf numFmtId="168" fontId="0" fillId="0" borderId="0" xfId="0" applyNumberFormat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 applyProtection="1">
      <alignment/>
      <protection hidden="1"/>
    </xf>
    <xf numFmtId="1" fontId="9" fillId="0" borderId="3" xfId="0" applyNumberFormat="1" applyFont="1" applyBorder="1" applyAlignment="1" applyProtection="1">
      <alignment/>
      <protection hidden="1"/>
    </xf>
    <xf numFmtId="169" fontId="9" fillId="2" borderId="12" xfId="25" applyNumberFormat="1" applyFont="1" applyFill="1" applyBorder="1" applyAlignment="1" applyProtection="1">
      <alignment/>
      <protection hidden="1"/>
    </xf>
    <xf numFmtId="1" fontId="9" fillId="2" borderId="3" xfId="0" applyNumberFormat="1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" xfId="0" applyFont="1" applyFill="1" applyBorder="1" applyAlignment="1" applyProtection="1">
      <alignment/>
      <protection hidden="1"/>
    </xf>
    <xf numFmtId="0" fontId="9" fillId="2" borderId="14" xfId="0" applyFont="1" applyFill="1" applyBorder="1" applyAlignment="1" applyProtection="1">
      <alignment/>
      <protection hidden="1"/>
    </xf>
    <xf numFmtId="10" fontId="9" fillId="2" borderId="4" xfId="25" applyNumberFormat="1" applyFont="1" applyFill="1" applyBorder="1" applyAlignment="1" applyProtection="1">
      <alignment/>
      <protection hidden="1"/>
    </xf>
    <xf numFmtId="169" fontId="9" fillId="2" borderId="15" xfId="25" applyNumberFormat="1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169" fontId="9" fillId="2" borderId="16" xfId="25" applyNumberFormat="1" applyFont="1" applyFill="1" applyBorder="1" applyAlignment="1" applyProtection="1">
      <alignment/>
      <protection hidden="1"/>
    </xf>
    <xf numFmtId="10" fontId="9" fillId="2" borderId="1" xfId="25" applyNumberFormat="1" applyFont="1" applyFill="1" applyBorder="1" applyAlignment="1" applyProtection="1">
      <alignment/>
      <protection hidden="1"/>
    </xf>
    <xf numFmtId="169" fontId="9" fillId="2" borderId="14" xfId="25" applyNumberFormat="1" applyFont="1" applyFill="1" applyBorder="1" applyAlignment="1" applyProtection="1">
      <alignment/>
      <protection hidden="1"/>
    </xf>
    <xf numFmtId="10" fontId="9" fillId="2" borderId="3" xfId="25" applyNumberFormat="1" applyFont="1" applyFill="1" applyBorder="1" applyAlignment="1" applyProtection="1">
      <alignment/>
      <protection hidden="1"/>
    </xf>
    <xf numFmtId="2" fontId="9" fillId="2" borderId="4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2" fontId="9" fillId="2" borderId="17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>
      <alignment/>
    </xf>
    <xf numFmtId="2" fontId="9" fillId="2" borderId="7" xfId="0" applyNumberFormat="1" applyFont="1" applyFill="1" applyBorder="1" applyAlignment="1" applyProtection="1">
      <alignment/>
      <protection hidden="1"/>
    </xf>
    <xf numFmtId="2" fontId="9" fillId="2" borderId="2" xfId="0" applyNumberFormat="1" applyFont="1" applyFill="1" applyBorder="1" applyAlignment="1" applyProtection="1">
      <alignment/>
      <protection hidden="1"/>
    </xf>
    <xf numFmtId="169" fontId="9" fillId="2" borderId="11" xfId="25" applyNumberFormat="1" applyFont="1" applyFill="1" applyBorder="1" applyAlignment="1" applyProtection="1">
      <alignment/>
      <protection hidden="1"/>
    </xf>
    <xf numFmtId="2" fontId="9" fillId="2" borderId="6" xfId="0" applyNumberFormat="1" applyFont="1" applyFill="1" applyBorder="1" applyAlignment="1" applyProtection="1">
      <alignment/>
      <protection hidden="1"/>
    </xf>
    <xf numFmtId="2" fontId="9" fillId="2" borderId="18" xfId="0" applyNumberFormat="1" applyFont="1" applyFill="1" applyBorder="1" applyAlignment="1" applyProtection="1">
      <alignment/>
      <protection hidden="1"/>
    </xf>
    <xf numFmtId="169" fontId="9" fillId="2" borderId="19" xfId="25" applyNumberFormat="1" applyFont="1" applyFill="1" applyBorder="1" applyAlignment="1" applyProtection="1">
      <alignment/>
      <protection hidden="1"/>
    </xf>
    <xf numFmtId="169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1" fontId="14" fillId="0" borderId="4" xfId="0" applyNumberFormat="1" applyFont="1" applyBorder="1" applyAlignment="1" applyProtection="1">
      <alignment/>
      <protection locked="0"/>
    </xf>
    <xf numFmtId="2" fontId="9" fillId="0" borderId="0" xfId="0" applyNumberFormat="1" applyFont="1" applyAlignment="1" applyProtection="1">
      <alignment horizontal="right"/>
      <protection hidden="1"/>
    </xf>
    <xf numFmtId="169" fontId="9" fillId="0" borderId="0" xfId="25" applyNumberFormat="1" applyFont="1" applyAlignment="1" applyProtection="1">
      <alignment horizontal="right"/>
      <protection hidden="1"/>
    </xf>
    <xf numFmtId="2" fontId="9" fillId="0" borderId="9" xfId="0" applyNumberFormat="1" applyFont="1" applyBorder="1" applyAlignment="1" applyProtection="1">
      <alignment/>
      <protection hidden="1"/>
    </xf>
    <xf numFmtId="169" fontId="9" fillId="0" borderId="9" xfId="25" applyNumberFormat="1" applyFont="1" applyBorder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169" fontId="9" fillId="0" borderId="0" xfId="25" applyNumberFormat="1" applyFont="1" applyAlignment="1" applyProtection="1">
      <alignment/>
      <protection hidden="1"/>
    </xf>
    <xf numFmtId="0" fontId="9" fillId="2" borderId="0" xfId="0" applyFont="1" applyFill="1" applyAlignment="1">
      <alignment/>
    </xf>
    <xf numFmtId="2" fontId="9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1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35" fillId="0" borderId="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9" fillId="2" borderId="7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24" xfId="0" applyFont="1" applyBorder="1" applyAlignment="1">
      <alignment/>
    </xf>
    <xf numFmtId="0" fontId="32" fillId="0" borderId="25" xfId="0" applyFont="1" applyBorder="1" applyAlignment="1">
      <alignment horizontal="centerContinuous" vertical="center" wrapText="1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14" fontId="33" fillId="0" borderId="3" xfId="0" applyNumberFormat="1" applyFont="1" applyBorder="1" applyAlignment="1" applyProtection="1">
      <alignment horizontal="center"/>
      <protection locked="0"/>
    </xf>
    <xf numFmtId="0" fontId="45" fillId="0" borderId="3" xfId="0" applyFont="1" applyBorder="1" applyAlignment="1" applyProtection="1">
      <alignment/>
      <protection locked="0"/>
    </xf>
    <xf numFmtId="0" fontId="12" fillId="0" borderId="3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30" xfId="0" applyFont="1" applyBorder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14" fontId="35" fillId="0" borderId="28" xfId="0" applyNumberFormat="1" applyFont="1" applyBorder="1" applyAlignment="1">
      <alignment horizontal="center"/>
    </xf>
    <xf numFmtId="0" fontId="45" fillId="0" borderId="28" xfId="0" applyFont="1" applyBorder="1" applyAlignment="1" applyProtection="1">
      <alignment/>
      <protection locked="0"/>
    </xf>
    <xf numFmtId="1" fontId="12" fillId="0" borderId="28" xfId="0" applyNumberFormat="1" applyFont="1" applyBorder="1" applyAlignment="1">
      <alignment/>
    </xf>
    <xf numFmtId="1" fontId="12" fillId="0" borderId="29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9" fillId="0" borderId="0" xfId="0" applyFont="1" applyAlignment="1" quotePrefix="1">
      <alignment horizontal="left"/>
    </xf>
    <xf numFmtId="15" fontId="9" fillId="0" borderId="0" xfId="0" applyNumberFormat="1" applyFont="1" applyAlignment="1">
      <alignment horizontal="centerContinuous"/>
    </xf>
    <xf numFmtId="1" fontId="10" fillId="0" borderId="4" xfId="0" applyNumberFormat="1" applyFont="1" applyBorder="1" applyAlignment="1" applyProtection="1">
      <alignment/>
      <protection locked="0"/>
    </xf>
    <xf numFmtId="0" fontId="12" fillId="0" borderId="25" xfId="0" applyFont="1" applyBorder="1" applyAlignment="1">
      <alignment horizontal="centerContinuous" vertical="center" wrapText="1"/>
    </xf>
    <xf numFmtId="0" fontId="3" fillId="0" borderId="2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15" fontId="46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9" fillId="4" borderId="0" xfId="0" applyFont="1" applyFill="1" applyAlignment="1">
      <alignment/>
    </xf>
    <xf numFmtId="0" fontId="7" fillId="0" borderId="9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2" borderId="4" xfId="0" applyNumberFormat="1" applyFont="1" applyFill="1" applyBorder="1" applyAlignment="1" applyProtection="1">
      <alignment/>
      <protection hidden="1"/>
    </xf>
    <xf numFmtId="10" fontId="9" fillId="2" borderId="18" xfId="25" applyNumberFormat="1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1" fontId="9" fillId="2" borderId="1" xfId="0" applyNumberFormat="1" applyFont="1" applyFill="1" applyBorder="1" applyAlignment="1" applyProtection="1">
      <alignment/>
      <protection hidden="1"/>
    </xf>
    <xf numFmtId="1" fontId="9" fillId="2" borderId="18" xfId="0" applyNumberFormat="1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Alignment="1" applyProtection="1">
      <alignment horizontal="centerContinuous"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171" fontId="9" fillId="2" borderId="0" xfId="0" applyNumberFormat="1" applyFont="1" applyFill="1" applyBorder="1" applyAlignment="1" applyProtection="1">
      <alignment horizontal="left"/>
      <protection hidden="1"/>
    </xf>
    <xf numFmtId="169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171" fontId="9" fillId="2" borderId="0" xfId="0" applyNumberFormat="1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Continuous"/>
      <protection hidden="1"/>
    </xf>
    <xf numFmtId="0" fontId="32" fillId="2" borderId="0" xfId="0" applyFont="1" applyFill="1" applyBorder="1" applyAlignment="1" applyProtection="1">
      <alignment/>
      <protection hidden="1"/>
    </xf>
    <xf numFmtId="169" fontId="9" fillId="2" borderId="0" xfId="0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171" fontId="9" fillId="2" borderId="0" xfId="0" applyNumberFormat="1" applyFont="1" applyFill="1" applyBorder="1" applyAlignment="1" applyProtection="1">
      <alignment horizontal="centerContinuous"/>
      <protection hidden="1"/>
    </xf>
    <xf numFmtId="170" fontId="12" fillId="2" borderId="0" xfId="0" applyNumberFormat="1" applyFont="1" applyFill="1" applyAlignment="1" applyProtection="1">
      <alignment horizontal="center"/>
      <protection hidden="1"/>
    </xf>
    <xf numFmtId="170" fontId="9" fillId="2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6" fillId="2" borderId="0" xfId="0" applyFont="1" applyFill="1" applyAlignment="1" applyProtection="1">
      <alignment horizontal="left"/>
      <protection hidden="1"/>
    </xf>
    <xf numFmtId="170" fontId="9" fillId="2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9" fontId="9" fillId="2" borderId="0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32" fillId="0" borderId="3" xfId="0" applyFont="1" applyBorder="1" applyAlignment="1">
      <alignment horizontal="center" vertical="center" wrapText="1"/>
    </xf>
    <xf numFmtId="10" fontId="9" fillId="0" borderId="0" xfId="25" applyNumberFormat="1" applyFont="1" applyAlignment="1">
      <alignment horizontal="center"/>
    </xf>
    <xf numFmtId="0" fontId="0" fillId="4" borderId="0" xfId="0" applyFill="1" applyAlignment="1">
      <alignment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1" fontId="9" fillId="2" borderId="0" xfId="0" applyNumberFormat="1" applyFont="1" applyFill="1" applyBorder="1" applyAlignment="1" applyProtection="1">
      <alignment/>
      <protection hidden="1"/>
    </xf>
    <xf numFmtId="0" fontId="9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9" fillId="0" borderId="0" xfId="25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centerContinuous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21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17" xfId="0" applyFont="1" applyBorder="1" applyAlignment="1" applyProtection="1">
      <alignment horizontal="centerContinuous"/>
      <protection/>
    </xf>
    <xf numFmtId="0" fontId="9" fillId="0" borderId="9" xfId="0" applyFont="1" applyBorder="1" applyAlignment="1">
      <alignment horizontal="left"/>
    </xf>
    <xf numFmtId="15" fontId="21" fillId="2" borderId="0" xfId="0" applyNumberFormat="1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15" fontId="21" fillId="2" borderId="0" xfId="0" applyNumberFormat="1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28" fillId="0" borderId="11" xfId="0" applyFont="1" applyBorder="1" applyAlignment="1" applyProtection="1">
      <alignment horizontal="right"/>
      <protection hidden="1"/>
    </xf>
    <xf numFmtId="0" fontId="28" fillId="0" borderId="0" xfId="0" applyFont="1" applyAlignment="1" applyProtection="1">
      <alignment horizontal="center"/>
      <protection hidden="1"/>
    </xf>
    <xf numFmtId="0" fontId="43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8" fontId="9" fillId="2" borderId="3" xfId="0" applyNumberFormat="1" applyFont="1" applyFill="1" applyBorder="1" applyAlignment="1" applyProtection="1">
      <alignment/>
      <protection hidden="1"/>
    </xf>
    <xf numFmtId="1" fontId="9" fillId="2" borderId="36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53" fillId="3" borderId="0" xfId="0" applyFont="1" applyFill="1" applyAlignment="1" applyProtection="1">
      <alignment/>
      <protection/>
    </xf>
    <xf numFmtId="0" fontId="53" fillId="3" borderId="0" xfId="0" applyFont="1" applyFill="1" applyAlignment="1" applyProtection="1" quotePrefix="1">
      <alignment horizontal="left"/>
      <protection/>
    </xf>
    <xf numFmtId="0" fontId="53" fillId="3" borderId="0" xfId="0" applyFont="1" applyFill="1" applyAlignment="1">
      <alignment/>
    </xf>
    <xf numFmtId="0" fontId="54" fillId="0" borderId="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/>
      <protection/>
    </xf>
    <xf numFmtId="0" fontId="9" fillId="0" borderId="37" xfId="0" applyFont="1" applyBorder="1" applyAlignment="1">
      <alignment/>
    </xf>
    <xf numFmtId="0" fontId="55" fillId="0" borderId="7" xfId="0" applyFont="1" applyBorder="1" applyAlignment="1" applyProtection="1">
      <alignment horizontal="right"/>
      <protection/>
    </xf>
    <xf numFmtId="0" fontId="9" fillId="0" borderId="38" xfId="0" applyFont="1" applyBorder="1" applyAlignment="1">
      <alignment/>
    </xf>
    <xf numFmtId="0" fontId="9" fillId="0" borderId="6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13" fillId="0" borderId="0" xfId="0" applyFont="1" applyAlignment="1" applyProtection="1">
      <alignment/>
      <protection/>
    </xf>
    <xf numFmtId="0" fontId="32" fillId="0" borderId="3" xfId="0" applyFont="1" applyBorder="1" applyAlignment="1" applyProtection="1">
      <alignment horizontal="centerContinuous" vertical="center" wrapText="1"/>
      <protection/>
    </xf>
    <xf numFmtId="0" fontId="32" fillId="0" borderId="3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Continuous" vertical="center" wrapText="1"/>
      <protection/>
    </xf>
    <xf numFmtId="0" fontId="9" fillId="0" borderId="22" xfId="0" applyFont="1" applyBorder="1" applyAlignment="1" applyProtection="1">
      <alignment horizontal="centerContinuous" vertical="center" wrapText="1"/>
      <protection/>
    </xf>
    <xf numFmtId="0" fontId="9" fillId="0" borderId="23" xfId="0" applyFont="1" applyBorder="1" applyAlignment="1" applyProtection="1">
      <alignment horizontal="centerContinuous" vertical="center" wrapText="1"/>
      <protection/>
    </xf>
    <xf numFmtId="0" fontId="9" fillId="0" borderId="4" xfId="0" applyFont="1" applyBorder="1" applyAlignment="1" applyProtection="1" quotePrefix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 quotePrefix="1">
      <alignment horizontal="center" vertical="center" wrapText="1"/>
      <protection/>
    </xf>
    <xf numFmtId="0" fontId="9" fillId="0" borderId="6" xfId="0" applyFont="1" applyBorder="1" applyAlignment="1" applyProtection="1">
      <alignment horizontal="centerContinuous" vertical="center" wrapText="1"/>
      <protection/>
    </xf>
    <xf numFmtId="0" fontId="9" fillId="0" borderId="9" xfId="0" applyFont="1" applyBorder="1" applyAlignment="1" applyProtection="1">
      <alignment horizontal="centerContinuous" vertical="center" wrapText="1"/>
      <protection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16" fillId="0" borderId="4" xfId="0" applyFont="1" applyBorder="1" applyAlignment="1">
      <alignment/>
    </xf>
    <xf numFmtId="164" fontId="9" fillId="0" borderId="0" xfId="0" applyNumberFormat="1" applyFont="1" applyAlignment="1" applyProtection="1">
      <alignment horizontal="center"/>
      <protection locked="0"/>
    </xf>
    <xf numFmtId="0" fontId="27" fillId="2" borderId="0" xfId="0" applyFont="1" applyFill="1" applyAlignment="1" applyProtection="1">
      <alignment/>
      <protection hidden="1"/>
    </xf>
    <xf numFmtId="16" fontId="30" fillId="0" borderId="3" xfId="0" applyNumberFormat="1" applyFont="1" applyBorder="1" applyAlignment="1" applyProtection="1" quotePrefix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/>
    </xf>
    <xf numFmtId="0" fontId="35" fillId="0" borderId="4" xfId="0" applyNumberFormat="1" applyFont="1" applyBorder="1" applyAlignment="1" applyProtection="1">
      <alignment/>
      <protection/>
    </xf>
    <xf numFmtId="16" fontId="46" fillId="0" borderId="3" xfId="0" applyNumberFormat="1" applyFont="1" applyBorder="1" applyAlignment="1" applyProtection="1" quotePrefix="1">
      <alignment horizontal="center"/>
      <protection locked="0"/>
    </xf>
    <xf numFmtId="0" fontId="16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2" borderId="3" xfId="0" applyFont="1" applyFill="1" applyBorder="1" applyAlignment="1">
      <alignment/>
    </xf>
    <xf numFmtId="16" fontId="30" fillId="0" borderId="4" xfId="0" applyNumberFormat="1" applyFont="1" applyBorder="1" applyAlignment="1" applyProtection="1" quotePrefix="1">
      <alignment horizontal="center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3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168" fontId="57" fillId="0" borderId="4" xfId="15" applyNumberFormat="1" applyFont="1" applyBorder="1" applyAlignment="1" applyProtection="1">
      <alignment/>
      <protection locked="0"/>
    </xf>
    <xf numFmtId="0" fontId="15" fillId="0" borderId="1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2" xfId="0" applyFont="1" applyBorder="1" applyAlignment="1">
      <alignment/>
    </xf>
    <xf numFmtId="168" fontId="45" fillId="0" borderId="4" xfId="15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centerContinuous"/>
      <protection/>
    </xf>
    <xf numFmtId="168" fontId="5" fillId="2" borderId="3" xfId="15" applyNumberFormat="1" applyFont="1" applyFill="1" applyBorder="1" applyAlignment="1" applyProtection="1">
      <alignment/>
      <protection/>
    </xf>
    <xf numFmtId="1" fontId="43" fillId="0" borderId="4" xfId="0" applyNumberFormat="1" applyFont="1" applyBorder="1" applyAlignment="1" applyProtection="1">
      <alignment horizontal="center"/>
      <protection/>
    </xf>
    <xf numFmtId="10" fontId="9" fillId="2" borderId="17" xfId="25" applyNumberFormat="1" applyFont="1" applyFill="1" applyBorder="1" applyAlignment="1" applyProtection="1">
      <alignment/>
      <protection hidden="1"/>
    </xf>
    <xf numFmtId="2" fontId="9" fillId="0" borderId="3" xfId="0" applyNumberFormat="1" applyFont="1" applyBorder="1" applyAlignment="1" applyProtection="1">
      <alignment/>
      <protection hidden="1"/>
    </xf>
    <xf numFmtId="0" fontId="28" fillId="3" borderId="0" xfId="0" applyFont="1" applyFill="1" applyAlignment="1" applyProtection="1">
      <alignment horizontal="right"/>
      <protection hidden="1"/>
    </xf>
    <xf numFmtId="1" fontId="9" fillId="2" borderId="3" xfId="0" applyNumberFormat="1" applyFont="1" applyFill="1" applyBorder="1" applyAlignment="1" applyProtection="1">
      <alignment horizontal="right"/>
      <protection hidden="1"/>
    </xf>
    <xf numFmtId="169" fontId="9" fillId="2" borderId="12" xfId="25" applyNumberFormat="1" applyFont="1" applyFill="1" applyBorder="1" applyAlignment="1" applyProtection="1">
      <alignment horizontal="right"/>
      <protection hidden="1"/>
    </xf>
    <xf numFmtId="1" fontId="9" fillId="0" borderId="1" xfId="0" applyNumberFormat="1" applyFont="1" applyBorder="1" applyAlignment="1" applyProtection="1">
      <alignment/>
      <protection hidden="1"/>
    </xf>
    <xf numFmtId="1" fontId="9" fillId="0" borderId="4" xfId="0" applyNumberFormat="1" applyFont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10" fontId="9" fillId="2" borderId="42" xfId="25" applyNumberFormat="1" applyFont="1" applyFill="1" applyBorder="1" applyAlignment="1" applyProtection="1">
      <alignment/>
      <protection hidden="1"/>
    </xf>
    <xf numFmtId="173" fontId="0" fillId="0" borderId="0" xfId="0" applyNumberFormat="1" applyAlignment="1">
      <alignment/>
    </xf>
    <xf numFmtId="173" fontId="9" fillId="0" borderId="3" xfId="0" applyNumberFormat="1" applyFont="1" applyBorder="1" applyAlignment="1" applyProtection="1">
      <alignment/>
      <protection hidden="1"/>
    </xf>
    <xf numFmtId="171" fontId="9" fillId="0" borderId="3" xfId="0" applyNumberFormat="1" applyFont="1" applyBorder="1" applyAlignment="1" applyProtection="1">
      <alignment/>
      <protection hidden="1"/>
    </xf>
    <xf numFmtId="173" fontId="9" fillId="0" borderId="1" xfId="0" applyNumberFormat="1" applyFont="1" applyBorder="1" applyAlignment="1" applyProtection="1">
      <alignment/>
      <protection hidden="1"/>
    </xf>
    <xf numFmtId="10" fontId="9" fillId="2" borderId="2" xfId="25" applyNumberFormat="1" applyFont="1" applyFill="1" applyBorder="1" applyAlignment="1" applyProtection="1">
      <alignment/>
      <protection hidden="1"/>
    </xf>
    <xf numFmtId="173" fontId="9" fillId="0" borderId="18" xfId="0" applyNumberFormat="1" applyFont="1" applyBorder="1" applyAlignment="1" applyProtection="1">
      <alignment/>
      <protection hidden="1"/>
    </xf>
    <xf numFmtId="169" fontId="9" fillId="2" borderId="42" xfId="25" applyNumberFormat="1" applyFon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Continuous"/>
      <protection/>
    </xf>
    <xf numFmtId="1" fontId="9" fillId="2" borderId="4" xfId="0" applyNumberFormat="1" applyFont="1" applyFill="1" applyBorder="1" applyAlignment="1" applyProtection="1">
      <alignment horizontal="right"/>
      <protection hidden="1"/>
    </xf>
    <xf numFmtId="1" fontId="9" fillId="0" borderId="4" xfId="0" applyNumberFormat="1" applyFont="1" applyBorder="1" applyAlignment="1" applyProtection="1">
      <alignment horizontal="right"/>
      <protection hidden="1"/>
    </xf>
    <xf numFmtId="169" fontId="9" fillId="2" borderId="15" xfId="25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9" fillId="3" borderId="0" xfId="0" applyFont="1" applyFill="1" applyAlignment="1">
      <alignment/>
    </xf>
    <xf numFmtId="0" fontId="36" fillId="0" borderId="43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5" fontId="27" fillId="0" borderId="0" xfId="0" applyNumberFormat="1" applyFont="1" applyAlignment="1" applyProtection="1">
      <alignment/>
      <protection hidden="1"/>
    </xf>
    <xf numFmtId="0" fontId="27" fillId="5" borderId="0" xfId="0" applyFont="1" applyFill="1" applyAlignment="1" applyProtection="1">
      <alignment/>
      <protection hidden="1"/>
    </xf>
    <xf numFmtId="1" fontId="9" fillId="0" borderId="36" xfId="0" applyNumberFormat="1" applyFont="1" applyBorder="1" applyAlignment="1" applyProtection="1">
      <alignment/>
      <protection hidden="1"/>
    </xf>
    <xf numFmtId="169" fontId="9" fillId="2" borderId="44" xfId="25" applyNumberFormat="1" applyFont="1" applyFill="1" applyBorder="1" applyAlignment="1" applyProtection="1">
      <alignment/>
      <protection hidden="1"/>
    </xf>
    <xf numFmtId="0" fontId="32" fillId="0" borderId="27" xfId="0" applyFont="1" applyBorder="1" applyAlignment="1">
      <alignment horizontal="centerContinuous" vertical="center" wrapText="1"/>
    </xf>
    <xf numFmtId="0" fontId="32" fillId="2" borderId="0" xfId="0" applyFont="1" applyFill="1" applyBorder="1" applyAlignment="1">
      <alignment horizontal="centerContinuous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 quotePrefix="1">
      <alignment horizontal="left"/>
    </xf>
    <xf numFmtId="0" fontId="61" fillId="0" borderId="8" xfId="0" applyFont="1" applyBorder="1" applyAlignment="1" applyProtection="1">
      <alignment horizontal="centerContinuous"/>
      <protection/>
    </xf>
    <xf numFmtId="164" fontId="4" fillId="0" borderId="0" xfId="0" applyNumberFormat="1" applyFont="1" applyAlignment="1" applyProtection="1">
      <alignment horizontal="center"/>
      <protection locked="0"/>
    </xf>
    <xf numFmtId="0" fontId="68" fillId="0" borderId="0" xfId="22" applyFont="1" applyBorder="1" applyAlignment="1" applyProtection="1">
      <alignment horizontal="left" vertical="top" wrapText="1"/>
      <protection locked="0"/>
    </xf>
    <xf numFmtId="0" fontId="68" fillId="0" borderId="0" xfId="22" applyFont="1" applyBorder="1" applyAlignment="1" applyProtection="1">
      <alignment horizontal="centerContinuous" vertical="top" wrapText="1"/>
      <protection locked="0"/>
    </xf>
    <xf numFmtId="0" fontId="68" fillId="0" borderId="0" xfId="22" applyFont="1" applyAlignment="1" applyProtection="1">
      <alignment horizontal="left" vertical="top" wrapText="1"/>
      <protection locked="0"/>
    </xf>
    <xf numFmtId="0" fontId="69" fillId="0" borderId="0" xfId="22" applyFont="1" applyAlignment="1" applyProtection="1">
      <alignment horizontal="left" vertical="top" wrapText="1"/>
      <protection locked="0"/>
    </xf>
    <xf numFmtId="0" fontId="69" fillId="0" borderId="0" xfId="22" applyFont="1" applyAlignment="1" applyProtection="1">
      <alignment vertical="top" wrapText="1"/>
      <protection locked="0"/>
    </xf>
    <xf numFmtId="0" fontId="69" fillId="0" borderId="0" xfId="22" applyFont="1" applyAlignment="1" applyProtection="1">
      <alignment vertical="top"/>
      <protection locked="0"/>
    </xf>
    <xf numFmtId="0" fontId="16" fillId="0" borderId="0" xfId="19">
      <alignment/>
      <protection/>
    </xf>
    <xf numFmtId="0" fontId="69" fillId="0" borderId="0" xfId="22" applyFont="1" applyBorder="1" applyAlignment="1" applyProtection="1">
      <alignment horizontal="centerContinuous" vertical="top" wrapText="1"/>
      <protection locked="0"/>
    </xf>
    <xf numFmtId="0" fontId="68" fillId="0" borderId="0" xfId="22" applyFont="1" applyAlignment="1" applyProtection="1">
      <alignment horizontal="center" vertical="top" wrapText="1"/>
      <protection locked="0"/>
    </xf>
    <xf numFmtId="0" fontId="68" fillId="0" borderId="0" xfId="22" applyFont="1" applyBorder="1" applyAlignment="1" applyProtection="1">
      <alignment vertical="top" wrapText="1"/>
      <protection locked="0"/>
    </xf>
    <xf numFmtId="0" fontId="69" fillId="0" borderId="0" xfId="22" applyFont="1" applyAlignment="1" applyProtection="1">
      <alignment horizontal="left" vertical="top"/>
      <protection locked="0"/>
    </xf>
    <xf numFmtId="0" fontId="68" fillId="0" borderId="0" xfId="22" applyFont="1" applyBorder="1" applyAlignment="1" applyProtection="1">
      <alignment horizontal="center" vertical="top"/>
      <protection locked="0"/>
    </xf>
    <xf numFmtId="0" fontId="68" fillId="0" borderId="0" xfId="23" applyFont="1" applyAlignment="1" applyProtection="1">
      <alignment wrapText="1"/>
      <protection locked="0"/>
    </xf>
    <xf numFmtId="0" fontId="68" fillId="0" borderId="45" xfId="22" applyFont="1" applyBorder="1" applyAlignment="1" applyProtection="1">
      <alignment horizontal="center" vertical="center"/>
      <protection/>
    </xf>
    <xf numFmtId="0" fontId="68" fillId="0" borderId="36" xfId="22" applyFont="1" applyBorder="1" applyAlignment="1" applyProtection="1">
      <alignment horizontal="center" vertical="top" wrapText="1"/>
      <protection/>
    </xf>
    <xf numFmtId="14" fontId="68" fillId="0" borderId="36" xfId="22" applyNumberFormat="1" applyFont="1" applyBorder="1" applyAlignment="1" applyProtection="1">
      <alignment horizontal="center" vertical="top" wrapText="1"/>
      <protection/>
    </xf>
    <xf numFmtId="49" fontId="68" fillId="0" borderId="36" xfId="22" applyNumberFormat="1" applyFont="1" applyBorder="1" applyAlignment="1" applyProtection="1">
      <alignment horizontal="center" vertical="center" wrapText="1"/>
      <protection/>
    </xf>
    <xf numFmtId="14" fontId="68" fillId="0" borderId="44" xfId="22" applyNumberFormat="1" applyFont="1" applyBorder="1" applyAlignment="1" applyProtection="1">
      <alignment horizontal="center" vertical="top" wrapText="1"/>
      <protection/>
    </xf>
    <xf numFmtId="0" fontId="68" fillId="0" borderId="30" xfId="22" applyFont="1" applyBorder="1" applyAlignment="1" applyProtection="1">
      <alignment horizontal="center" vertical="center" wrapText="1"/>
      <protection/>
    </xf>
    <xf numFmtId="0" fontId="68" fillId="0" borderId="3" xfId="22" applyFont="1" applyBorder="1" applyAlignment="1" applyProtection="1">
      <alignment horizontal="center" vertical="top" wrapText="1"/>
      <protection/>
    </xf>
    <xf numFmtId="49" fontId="68" fillId="0" borderId="3" xfId="22" applyNumberFormat="1" applyFont="1" applyBorder="1" applyAlignment="1" applyProtection="1">
      <alignment horizontal="center" vertical="center" wrapText="1"/>
      <protection/>
    </xf>
    <xf numFmtId="0" fontId="68" fillId="0" borderId="12" xfId="22" applyFont="1" applyBorder="1" applyAlignment="1" applyProtection="1">
      <alignment horizontal="center" vertical="top" wrapText="1"/>
      <protection/>
    </xf>
    <xf numFmtId="49" fontId="68" fillId="0" borderId="3" xfId="22" applyNumberFormat="1" applyFont="1" applyBorder="1" applyAlignment="1" applyProtection="1">
      <alignment horizontal="right" vertical="top" wrapText="1"/>
      <protection/>
    </xf>
    <xf numFmtId="0" fontId="69" fillId="0" borderId="3" xfId="22" applyFont="1" applyBorder="1" applyAlignment="1" applyProtection="1">
      <alignment vertical="top" wrapText="1"/>
      <protection/>
    </xf>
    <xf numFmtId="0" fontId="69" fillId="0" borderId="13" xfId="22" applyFont="1" applyBorder="1" applyAlignment="1" applyProtection="1">
      <alignment vertical="top" wrapText="1"/>
      <protection/>
    </xf>
    <xf numFmtId="49" fontId="68" fillId="2" borderId="5" xfId="22" applyNumberFormat="1" applyFont="1" applyFill="1" applyBorder="1" applyAlignment="1" applyProtection="1">
      <alignment horizontal="right" vertical="top" wrapText="1"/>
      <protection/>
    </xf>
    <xf numFmtId="0" fontId="72" fillId="6" borderId="30" xfId="22" applyFont="1" applyFill="1" applyBorder="1" applyAlignment="1" applyProtection="1">
      <alignment vertical="top" wrapText="1"/>
      <protection/>
    </xf>
    <xf numFmtId="0" fontId="69" fillId="0" borderId="3" xfId="22" applyFont="1" applyBorder="1" applyAlignment="1" applyProtection="1">
      <alignment horizontal="right" vertical="top" wrapText="1"/>
      <protection/>
    </xf>
    <xf numFmtId="0" fontId="72" fillId="6" borderId="3" xfId="22" applyFont="1" applyFill="1" applyBorder="1" applyAlignment="1" applyProtection="1">
      <alignment vertical="top" wrapText="1"/>
      <protection/>
    </xf>
    <xf numFmtId="49" fontId="71" fillId="0" borderId="3" xfId="22" applyNumberFormat="1" applyFont="1" applyBorder="1" applyAlignment="1" applyProtection="1">
      <alignment horizontal="right" vertical="top" wrapText="1"/>
      <protection/>
    </xf>
    <xf numFmtId="1" fontId="69" fillId="5" borderId="13" xfId="22" applyNumberFormat="1" applyFont="1" applyFill="1" applyBorder="1" applyAlignment="1" applyProtection="1">
      <alignment vertical="top" wrapText="1"/>
      <protection locked="0"/>
    </xf>
    <xf numFmtId="1" fontId="71" fillId="0" borderId="3" xfId="22" applyNumberFormat="1" applyFont="1" applyBorder="1" applyAlignment="1" applyProtection="1">
      <alignment horizontal="right" vertical="top" wrapText="1"/>
      <protection/>
    </xf>
    <xf numFmtId="1" fontId="69" fillId="5" borderId="12" xfId="22" applyNumberFormat="1" applyFont="1" applyFill="1" applyBorder="1" applyAlignment="1" applyProtection="1">
      <alignment vertical="top" wrapText="1"/>
      <protection locked="0"/>
    </xf>
    <xf numFmtId="1" fontId="69" fillId="7" borderId="12" xfId="22" applyNumberFormat="1" applyFont="1" applyFill="1" applyBorder="1" applyAlignment="1" applyProtection="1">
      <alignment vertical="top" wrapText="1"/>
      <protection locked="0"/>
    </xf>
    <xf numFmtId="0" fontId="72" fillId="6" borderId="3" xfId="22" applyFont="1" applyFill="1" applyBorder="1" applyAlignment="1" applyProtection="1">
      <alignment vertical="top"/>
      <protection/>
    </xf>
    <xf numFmtId="1" fontId="69" fillId="8" borderId="12" xfId="22" applyNumberFormat="1" applyFont="1" applyFill="1" applyBorder="1" applyAlignment="1" applyProtection="1">
      <alignment vertical="top" wrapText="1"/>
      <protection locked="0"/>
    </xf>
    <xf numFmtId="49" fontId="71" fillId="0" borderId="3" xfId="22" applyNumberFormat="1" applyFont="1" applyFill="1" applyBorder="1" applyAlignment="1" applyProtection="1">
      <alignment horizontal="right" vertical="top" wrapText="1"/>
      <protection/>
    </xf>
    <xf numFmtId="1" fontId="73" fillId="0" borderId="3" xfId="22" applyNumberFormat="1" applyFont="1" applyBorder="1" applyAlignment="1" applyProtection="1">
      <alignment horizontal="right" vertical="top" wrapText="1"/>
      <protection/>
    </xf>
    <xf numFmtId="1" fontId="69" fillId="0" borderId="12" xfId="22" applyNumberFormat="1" applyFont="1" applyBorder="1" applyAlignment="1" applyProtection="1">
      <alignment vertical="top" wrapText="1"/>
      <protection/>
    </xf>
    <xf numFmtId="1" fontId="74" fillId="0" borderId="13" xfId="22" applyNumberFormat="1" applyFont="1" applyBorder="1" applyAlignment="1" applyProtection="1">
      <alignment horizontal="right" vertical="top" wrapText="1"/>
      <protection/>
    </xf>
    <xf numFmtId="49" fontId="73" fillId="0" borderId="3" xfId="22" applyNumberFormat="1" applyFont="1" applyBorder="1" applyAlignment="1" applyProtection="1">
      <alignment horizontal="right" vertical="top" wrapText="1"/>
      <protection/>
    </xf>
    <xf numFmtId="1" fontId="69" fillId="0" borderId="13" xfId="22" applyNumberFormat="1" applyFont="1" applyBorder="1" applyAlignment="1" applyProtection="1">
      <alignment vertical="top" wrapText="1"/>
      <protection/>
    </xf>
    <xf numFmtId="49" fontId="73" fillId="0" borderId="3" xfId="22" applyNumberFormat="1" applyFont="1" applyFill="1" applyBorder="1" applyAlignment="1" applyProtection="1">
      <alignment horizontal="right" vertical="top" wrapText="1"/>
      <protection/>
    </xf>
    <xf numFmtId="1" fontId="72" fillId="6" borderId="3" xfId="22" applyNumberFormat="1" applyFont="1" applyFill="1" applyBorder="1" applyAlignment="1" applyProtection="1">
      <alignment vertical="top" wrapText="1"/>
      <protection/>
    </xf>
    <xf numFmtId="1" fontId="69" fillId="0" borderId="12" xfId="22" applyNumberFormat="1" applyFont="1" applyFill="1" applyBorder="1" applyAlignment="1" applyProtection="1">
      <alignment vertical="top" wrapText="1"/>
      <protection/>
    </xf>
    <xf numFmtId="1" fontId="69" fillId="0" borderId="3" xfId="22" applyNumberFormat="1" applyFont="1" applyBorder="1" applyAlignment="1" applyProtection="1">
      <alignment vertical="top" wrapText="1"/>
      <protection/>
    </xf>
    <xf numFmtId="1" fontId="72" fillId="6" borderId="3" xfId="22" applyNumberFormat="1" applyFont="1" applyFill="1" applyBorder="1" applyAlignment="1" applyProtection="1">
      <alignment vertical="top"/>
      <protection/>
    </xf>
    <xf numFmtId="1" fontId="69" fillId="3" borderId="12" xfId="22" applyNumberFormat="1" applyFont="1" applyFill="1" applyBorder="1" applyAlignment="1" applyProtection="1">
      <alignment vertical="top" wrapText="1"/>
      <protection locked="0"/>
    </xf>
    <xf numFmtId="1" fontId="69" fillId="8" borderId="13" xfId="22" applyNumberFormat="1" applyFont="1" applyFill="1" applyBorder="1" applyAlignment="1" applyProtection="1">
      <alignment vertical="top" wrapText="1"/>
      <protection locked="0"/>
    </xf>
    <xf numFmtId="1" fontId="75" fillId="0" borderId="5" xfId="22" applyNumberFormat="1" applyFont="1" applyBorder="1" applyAlignment="1" applyProtection="1">
      <alignment horizontal="right" vertical="top" wrapText="1"/>
      <protection/>
    </xf>
    <xf numFmtId="1" fontId="75" fillId="0" borderId="3" xfId="22" applyNumberFormat="1" applyFont="1" applyBorder="1" applyAlignment="1" applyProtection="1">
      <alignment horizontal="right" vertical="top" wrapText="1"/>
      <protection/>
    </xf>
    <xf numFmtId="1" fontId="68" fillId="0" borderId="5" xfId="22" applyNumberFormat="1" applyFont="1" applyBorder="1" applyAlignment="1" applyProtection="1">
      <alignment horizontal="right" vertical="top" wrapText="1"/>
      <protection/>
    </xf>
    <xf numFmtId="49" fontId="71" fillId="0" borderId="13" xfId="22" applyNumberFormat="1" applyFont="1" applyBorder="1" applyAlignment="1" applyProtection="1">
      <alignment horizontal="right" vertical="top" wrapText="1"/>
      <protection/>
    </xf>
    <xf numFmtId="1" fontId="69" fillId="0" borderId="5" xfId="22" applyNumberFormat="1" applyFont="1" applyBorder="1" applyAlignment="1" applyProtection="1">
      <alignment vertical="top" wrapText="1"/>
      <protection/>
    </xf>
    <xf numFmtId="1" fontId="69" fillId="7" borderId="7" xfId="22" applyNumberFormat="1" applyFont="1" applyFill="1" applyBorder="1" applyAlignment="1" applyProtection="1">
      <alignment vertical="top" wrapText="1"/>
      <protection locked="0"/>
    </xf>
    <xf numFmtId="49" fontId="72" fillId="6" borderId="3" xfId="22" applyNumberFormat="1" applyFont="1" applyFill="1" applyBorder="1" applyAlignment="1" applyProtection="1">
      <alignment vertical="top"/>
      <protection/>
    </xf>
    <xf numFmtId="0" fontId="72" fillId="6" borderId="30" xfId="22" applyNumberFormat="1" applyFont="1" applyFill="1" applyBorder="1" applyAlignment="1" applyProtection="1">
      <alignment vertical="top" wrapText="1"/>
      <protection/>
    </xf>
    <xf numFmtId="49" fontId="75" fillId="0" borderId="3" xfId="22" applyNumberFormat="1" applyFont="1" applyFill="1" applyBorder="1" applyAlignment="1" applyProtection="1">
      <alignment horizontal="right" vertical="top" wrapText="1"/>
      <protection/>
    </xf>
    <xf numFmtId="1" fontId="68" fillId="0" borderId="3" xfId="22" applyNumberFormat="1" applyFont="1" applyBorder="1" applyAlignment="1" applyProtection="1">
      <alignment horizontal="right" vertical="top" wrapText="1"/>
      <protection/>
    </xf>
    <xf numFmtId="1" fontId="69" fillId="0" borderId="3" xfId="22" applyNumberFormat="1" applyFont="1" applyBorder="1" applyAlignment="1" applyProtection="1">
      <alignment horizontal="right" vertical="top" wrapText="1"/>
      <protection/>
    </xf>
    <xf numFmtId="1" fontId="73" fillId="0" borderId="1" xfId="22" applyNumberFormat="1" applyFont="1" applyBorder="1" applyAlignment="1" applyProtection="1">
      <alignment horizontal="right" vertical="top" wrapText="1"/>
      <protection/>
    </xf>
    <xf numFmtId="1" fontId="69" fillId="0" borderId="14" xfId="22" applyNumberFormat="1" applyFont="1" applyBorder="1" applyAlignment="1" applyProtection="1">
      <alignment vertical="top" wrapText="1"/>
      <protection/>
    </xf>
    <xf numFmtId="1" fontId="71" fillId="0" borderId="5" xfId="22" applyNumberFormat="1" applyFont="1" applyBorder="1" applyAlignment="1" applyProtection="1">
      <alignment horizontal="right" vertical="top" wrapText="1"/>
      <protection/>
    </xf>
    <xf numFmtId="1" fontId="69" fillId="0" borderId="21" xfId="22" applyNumberFormat="1" applyFont="1" applyBorder="1" applyAlignment="1" applyProtection="1">
      <alignment vertical="top" wrapText="1"/>
      <protection/>
    </xf>
    <xf numFmtId="1" fontId="71" fillId="0" borderId="6" xfId="22" applyNumberFormat="1" applyFont="1" applyBorder="1" applyAlignment="1" applyProtection="1">
      <alignment horizontal="right" vertical="top" wrapText="1"/>
      <protection/>
    </xf>
    <xf numFmtId="1" fontId="69" fillId="0" borderId="9" xfId="22" applyNumberFormat="1" applyFont="1" applyBorder="1" applyAlignment="1" applyProtection="1">
      <alignment vertical="top" wrapText="1"/>
      <protection/>
    </xf>
    <xf numFmtId="1" fontId="73" fillId="0" borderId="4" xfId="22" applyNumberFormat="1" applyFont="1" applyBorder="1" applyAlignment="1" applyProtection="1">
      <alignment horizontal="right" vertical="top" wrapText="1"/>
      <protection/>
    </xf>
    <xf numFmtId="1" fontId="73" fillId="2" borderId="3" xfId="22" applyNumberFormat="1" applyFont="1" applyFill="1" applyBorder="1" applyAlignment="1" applyProtection="1">
      <alignment horizontal="right" vertical="top" wrapText="1"/>
      <protection/>
    </xf>
    <xf numFmtId="1" fontId="68" fillId="0" borderId="12" xfId="22" applyNumberFormat="1" applyFont="1" applyBorder="1" applyAlignment="1" applyProtection="1">
      <alignment vertical="top" wrapText="1"/>
      <protection/>
    </xf>
    <xf numFmtId="49" fontId="75" fillId="0" borderId="3" xfId="22" applyNumberFormat="1" applyFont="1" applyBorder="1" applyAlignment="1" applyProtection="1">
      <alignment horizontal="right" vertical="top" wrapText="1"/>
      <protection/>
    </xf>
    <xf numFmtId="49" fontId="75" fillId="0" borderId="28" xfId="22" applyNumberFormat="1" applyFont="1" applyBorder="1" applyAlignment="1" applyProtection="1">
      <alignment horizontal="right" vertical="top" wrapText="1"/>
      <protection/>
    </xf>
    <xf numFmtId="1" fontId="68" fillId="0" borderId="46" xfId="22" applyNumberFormat="1" applyFont="1" applyBorder="1" applyAlignment="1" applyProtection="1">
      <alignment vertical="top" wrapText="1"/>
      <protection/>
    </xf>
    <xf numFmtId="1" fontId="75" fillId="0" borderId="28" xfId="22" applyNumberFormat="1" applyFont="1" applyBorder="1" applyAlignment="1" applyProtection="1">
      <alignment horizontal="right" vertical="top" wrapText="1"/>
      <protection/>
    </xf>
    <xf numFmtId="0" fontId="68" fillId="0" borderId="0" xfId="22" applyFont="1" applyBorder="1" applyAlignment="1">
      <alignment vertical="top" wrapText="1"/>
      <protection/>
    </xf>
    <xf numFmtId="49" fontId="68" fillId="0" borderId="0" xfId="22" applyNumberFormat="1" applyFont="1" applyBorder="1" applyAlignment="1">
      <alignment vertical="top" wrapText="1"/>
      <protection/>
    </xf>
    <xf numFmtId="1" fontId="69" fillId="0" borderId="0" xfId="22" applyNumberFormat="1" applyFont="1" applyBorder="1" applyAlignment="1">
      <alignment vertical="top" wrapText="1"/>
      <protection/>
    </xf>
    <xf numFmtId="0" fontId="69" fillId="0" borderId="0" xfId="22" applyFont="1" applyAlignment="1">
      <alignment horizontal="left" vertical="top" wrapText="1"/>
      <protection/>
    </xf>
    <xf numFmtId="0" fontId="69" fillId="0" borderId="0" xfId="22" applyFont="1" applyAlignment="1">
      <alignment vertical="top" wrapText="1"/>
      <protection/>
    </xf>
    <xf numFmtId="0" fontId="69" fillId="0" borderId="0" xfId="22" applyFont="1" applyAlignment="1">
      <alignment vertical="top"/>
      <protection/>
    </xf>
    <xf numFmtId="0" fontId="69" fillId="0" borderId="0" xfId="22" applyFont="1" applyBorder="1" applyAlignment="1" applyProtection="1">
      <alignment vertical="top"/>
      <protection locked="0"/>
    </xf>
    <xf numFmtId="49" fontId="68" fillId="0" borderId="0" xfId="22" applyNumberFormat="1" applyFont="1" applyBorder="1" applyAlignment="1" applyProtection="1">
      <alignment vertical="top" wrapText="1"/>
      <protection locked="0"/>
    </xf>
    <xf numFmtId="1" fontId="69" fillId="0" borderId="0" xfId="22" applyNumberFormat="1" applyFont="1" applyBorder="1" applyAlignment="1" applyProtection="1">
      <alignment vertical="top" wrapText="1"/>
      <protection locked="0"/>
    </xf>
    <xf numFmtId="0" fontId="71" fillId="0" borderId="0" xfId="22" applyFont="1" applyAlignment="1" applyProtection="1">
      <alignment vertical="top" wrapText="1"/>
      <protection locked="0"/>
    </xf>
    <xf numFmtId="0" fontId="69" fillId="0" borderId="0" xfId="22" applyFont="1" applyBorder="1" applyAlignment="1" applyProtection="1">
      <alignment horizontal="left" vertical="top"/>
      <protection locked="0"/>
    </xf>
    <xf numFmtId="0" fontId="71" fillId="0" borderId="0" xfId="22" applyFont="1" applyBorder="1" applyAlignment="1" applyProtection="1">
      <alignment vertical="top" wrapText="1"/>
      <protection locked="0"/>
    </xf>
    <xf numFmtId="1" fontId="71" fillId="0" borderId="0" xfId="22" applyNumberFormat="1" applyFont="1" applyBorder="1" applyAlignment="1" applyProtection="1">
      <alignment vertical="top" wrapText="1"/>
      <protection locked="0"/>
    </xf>
    <xf numFmtId="0" fontId="71" fillId="0" borderId="0" xfId="22" applyFont="1" applyAlignment="1" applyProtection="1">
      <alignment horizontal="left" vertical="top" wrapText="1"/>
      <protection locked="0"/>
    </xf>
    <xf numFmtId="0" fontId="71" fillId="0" borderId="0" xfId="22" applyFont="1" applyAlignment="1" applyProtection="1">
      <alignment vertical="top"/>
      <protection locked="0"/>
    </xf>
    <xf numFmtId="1" fontId="71" fillId="0" borderId="0" xfId="22" applyNumberFormat="1" applyFont="1" applyAlignment="1" applyProtection="1">
      <alignment vertical="top" wrapText="1"/>
      <protection locked="0"/>
    </xf>
    <xf numFmtId="0" fontId="16" fillId="0" borderId="0" xfId="21">
      <alignment/>
      <protection/>
    </xf>
    <xf numFmtId="0" fontId="77" fillId="0" borderId="0" xfId="24" applyFont="1" applyBorder="1" applyAlignment="1" applyProtection="1">
      <alignment wrapText="1"/>
      <protection locked="0"/>
    </xf>
    <xf numFmtId="0" fontId="76" fillId="0" borderId="3" xfId="24" applyFont="1" applyBorder="1" applyAlignment="1" applyProtection="1">
      <alignment horizontal="center" vertical="center" wrapText="1"/>
      <protection/>
    </xf>
    <xf numFmtId="0" fontId="76" fillId="0" borderId="23" xfId="24" applyFont="1" applyBorder="1" applyAlignment="1" applyProtection="1">
      <alignment horizontal="center" vertical="center" wrapText="1"/>
      <protection/>
    </xf>
    <xf numFmtId="0" fontId="76" fillId="0" borderId="13" xfId="24" applyFont="1" applyBorder="1" applyAlignment="1" applyProtection="1">
      <alignment horizontal="center" vertical="center" wrapText="1"/>
      <protection/>
    </xf>
    <xf numFmtId="0" fontId="76" fillId="0" borderId="4" xfId="24" applyFont="1" applyBorder="1" applyAlignment="1" applyProtection="1">
      <alignment horizontal="center" vertical="center" wrapText="1"/>
      <protection/>
    </xf>
    <xf numFmtId="0" fontId="76" fillId="0" borderId="3" xfId="24" applyFont="1" applyBorder="1" applyAlignment="1" applyProtection="1">
      <alignment vertical="center" wrapText="1"/>
      <protection/>
    </xf>
    <xf numFmtId="3" fontId="76" fillId="0" borderId="3" xfId="24" applyNumberFormat="1" applyFont="1" applyBorder="1" applyAlignment="1" applyProtection="1">
      <alignment vertical="center"/>
      <protection/>
    </xf>
    <xf numFmtId="0" fontId="80" fillId="0" borderId="3" xfId="24" applyFont="1" applyBorder="1" applyAlignment="1" applyProtection="1">
      <alignment vertical="center" wrapText="1"/>
      <protection/>
    </xf>
    <xf numFmtId="0" fontId="77" fillId="0" borderId="3" xfId="24" applyFont="1" applyFill="1" applyBorder="1" applyProtection="1">
      <alignment/>
      <protection/>
    </xf>
    <xf numFmtId="3" fontId="77" fillId="0" borderId="3" xfId="24" applyNumberFormat="1" applyFont="1" applyFill="1" applyBorder="1" applyAlignment="1" applyProtection="1">
      <alignment vertical="center"/>
      <protection/>
    </xf>
    <xf numFmtId="0" fontId="77" fillId="0" borderId="3" xfId="24" applyFont="1" applyBorder="1" applyAlignment="1" applyProtection="1">
      <alignment vertical="center" wrapText="1"/>
      <protection/>
    </xf>
    <xf numFmtId="3" fontId="77" fillId="0" borderId="3" xfId="24" applyNumberFormat="1" applyFont="1" applyBorder="1" applyAlignment="1" applyProtection="1">
      <alignment horizontal="center" vertical="center"/>
      <protection/>
    </xf>
    <xf numFmtId="1" fontId="77" fillId="5" borderId="3" xfId="24" applyNumberFormat="1" applyFont="1" applyFill="1" applyBorder="1" applyAlignment="1" applyProtection="1">
      <alignment vertical="center"/>
      <protection locked="0"/>
    </xf>
    <xf numFmtId="0" fontId="77" fillId="0" borderId="3" xfId="24" applyFont="1" applyFill="1" applyBorder="1" applyAlignment="1" applyProtection="1">
      <alignment vertical="center" wrapText="1"/>
      <protection/>
    </xf>
    <xf numFmtId="0" fontId="80" fillId="0" borderId="3" xfId="24" applyFont="1" applyBorder="1" applyAlignment="1" applyProtection="1">
      <alignment horizontal="right" vertical="center" wrapText="1"/>
      <protection/>
    </xf>
    <xf numFmtId="1" fontId="77" fillId="3" borderId="3" xfId="24" applyNumberFormat="1" applyFont="1" applyFill="1" applyBorder="1" applyAlignment="1" applyProtection="1">
      <alignment vertical="center"/>
      <protection locked="0"/>
    </xf>
    <xf numFmtId="0" fontId="77" fillId="0" borderId="3" xfId="24" applyFont="1" applyBorder="1" applyAlignment="1" applyProtection="1">
      <alignment horizontal="left" vertical="center" wrapText="1"/>
      <protection/>
    </xf>
    <xf numFmtId="1" fontId="77" fillId="7" borderId="3" xfId="24" applyNumberFormat="1" applyFont="1" applyFill="1" applyBorder="1" applyAlignment="1" applyProtection="1">
      <alignment vertical="center"/>
      <protection locked="0"/>
    </xf>
    <xf numFmtId="3" fontId="80" fillId="0" borderId="3" xfId="24" applyNumberFormat="1" applyFont="1" applyBorder="1" applyAlignment="1" applyProtection="1">
      <alignment horizontal="center" vertical="center"/>
      <protection/>
    </xf>
    <xf numFmtId="3" fontId="77" fillId="0" borderId="3" xfId="24" applyNumberFormat="1" applyFont="1" applyBorder="1" applyAlignment="1" applyProtection="1">
      <alignment vertical="center"/>
      <protection/>
    </xf>
    <xf numFmtId="0" fontId="77" fillId="0" borderId="3" xfId="24" applyFont="1" applyBorder="1" applyAlignment="1" applyProtection="1">
      <alignment wrapText="1"/>
      <protection/>
    </xf>
    <xf numFmtId="1" fontId="77" fillId="0" borderId="3" xfId="24" applyNumberFormat="1" applyFont="1" applyBorder="1" applyAlignment="1" applyProtection="1">
      <alignment vertical="center"/>
      <protection/>
    </xf>
    <xf numFmtId="0" fontId="77" fillId="0" borderId="23" xfId="24" applyFont="1" applyBorder="1" applyAlignment="1" applyProtection="1">
      <alignment horizontal="center" vertical="center" wrapText="1"/>
      <protection/>
    </xf>
    <xf numFmtId="0" fontId="80" fillId="0" borderId="23" xfId="24" applyFont="1" applyBorder="1" applyAlignment="1" applyProtection="1">
      <alignment horizontal="center" vertical="center" wrapText="1"/>
      <protection/>
    </xf>
    <xf numFmtId="0" fontId="80" fillId="0" borderId="23" xfId="24" applyFont="1" applyBorder="1" applyAlignment="1" applyProtection="1">
      <alignment horizontal="center" wrapText="1"/>
      <protection/>
    </xf>
    <xf numFmtId="0" fontId="81" fillId="0" borderId="3" xfId="24" applyFont="1" applyBorder="1" applyAlignment="1" applyProtection="1">
      <alignment vertical="center" wrapText="1"/>
      <protection/>
    </xf>
    <xf numFmtId="0" fontId="77" fillId="0" borderId="30" xfId="24" applyFont="1" applyBorder="1" applyAlignment="1" applyProtection="1">
      <alignment vertical="center" wrapText="1"/>
      <protection/>
    </xf>
    <xf numFmtId="49" fontId="77" fillId="0" borderId="23" xfId="24" applyNumberFormat="1" applyFont="1" applyBorder="1" applyAlignment="1" applyProtection="1">
      <alignment horizontal="center" vertical="center" wrapText="1"/>
      <protection/>
    </xf>
    <xf numFmtId="1" fontId="76" fillId="3" borderId="3" xfId="24" applyNumberFormat="1" applyFont="1" applyFill="1" applyBorder="1" applyAlignment="1" applyProtection="1">
      <alignment vertical="center"/>
      <protection locked="0"/>
    </xf>
    <xf numFmtId="0" fontId="77" fillId="0" borderId="22" xfId="24" applyFont="1" applyBorder="1" applyAlignment="1" applyProtection="1">
      <alignment vertical="center" wrapText="1"/>
      <protection/>
    </xf>
    <xf numFmtId="1" fontId="76" fillId="5" borderId="23" xfId="24" applyNumberFormat="1" applyFont="1" applyFill="1" applyBorder="1" applyAlignment="1" applyProtection="1">
      <alignment vertical="center"/>
      <protection locked="0"/>
    </xf>
    <xf numFmtId="0" fontId="76" fillId="0" borderId="13" xfId="24" applyFont="1" applyBorder="1" applyAlignment="1" applyProtection="1">
      <alignment vertical="center" wrapText="1"/>
      <protection/>
    </xf>
    <xf numFmtId="49" fontId="76" fillId="0" borderId="3" xfId="24" applyNumberFormat="1" applyFont="1" applyBorder="1" applyAlignment="1" applyProtection="1">
      <alignment horizontal="center" vertical="center" wrapText="1"/>
      <protection/>
    </xf>
    <xf numFmtId="0" fontId="82" fillId="0" borderId="3" xfId="24" applyFont="1" applyBorder="1" applyAlignment="1" applyProtection="1">
      <alignment vertical="center" wrapText="1"/>
      <protection/>
    </xf>
    <xf numFmtId="49" fontId="79" fillId="0" borderId="3" xfId="24" applyNumberFormat="1" applyFont="1" applyBorder="1" applyAlignment="1" applyProtection="1">
      <alignment horizontal="centerContinuous" wrapText="1"/>
      <protection/>
    </xf>
    <xf numFmtId="1" fontId="76" fillId="5" borderId="3" xfId="24" applyNumberFormat="1" applyFont="1" applyFill="1" applyBorder="1" applyAlignment="1" applyProtection="1">
      <alignment vertical="center"/>
      <protection locked="0"/>
    </xf>
    <xf numFmtId="0" fontId="76" fillId="0" borderId="3" xfId="24" applyFont="1" applyBorder="1" applyAlignment="1" applyProtection="1">
      <alignment horizontal="left" vertical="center" wrapText="1"/>
      <protection/>
    </xf>
    <xf numFmtId="3" fontId="77" fillId="0" borderId="3" xfId="24" applyNumberFormat="1" applyFont="1" applyBorder="1" applyProtection="1">
      <alignment/>
      <protection/>
    </xf>
    <xf numFmtId="0" fontId="77" fillId="0" borderId="0" xfId="24" applyFont="1" applyBorder="1" applyAlignment="1" applyProtection="1">
      <alignment wrapText="1"/>
      <protection/>
    </xf>
    <xf numFmtId="0" fontId="76" fillId="0" borderId="0" xfId="24" applyFont="1" applyBorder="1" applyAlignment="1" applyProtection="1">
      <alignment wrapText="1"/>
      <protection locked="0"/>
    </xf>
    <xf numFmtId="1" fontId="77" fillId="0" borderId="0" xfId="24" applyNumberFormat="1" applyFont="1" applyBorder="1" applyProtection="1">
      <alignment/>
      <protection locked="0"/>
    </xf>
    <xf numFmtId="0" fontId="76" fillId="0" borderId="0" xfId="24" applyFont="1" applyBorder="1" applyAlignment="1" applyProtection="1">
      <alignment horizontal="right" vertical="center" wrapText="1"/>
      <protection locked="0"/>
    </xf>
    <xf numFmtId="0" fontId="78" fillId="0" borderId="0" xfId="24" applyFont="1" applyBorder="1" applyAlignment="1" applyProtection="1">
      <alignment wrapText="1"/>
      <protection locked="0"/>
    </xf>
    <xf numFmtId="1" fontId="78" fillId="0" borderId="0" xfId="24" applyNumberFormat="1" applyFont="1" applyBorder="1" applyProtection="1">
      <alignment/>
      <protection locked="0"/>
    </xf>
    <xf numFmtId="0" fontId="76" fillId="0" borderId="0" xfId="22" applyFont="1" applyBorder="1" applyAlignment="1" applyProtection="1">
      <alignment horizontal="left" vertical="top" wrapText="1"/>
      <protection locked="0"/>
    </xf>
    <xf numFmtId="1" fontId="78" fillId="0" borderId="0" xfId="24" applyNumberFormat="1" applyFont="1" applyProtection="1">
      <alignment/>
      <protection locked="0"/>
    </xf>
    <xf numFmtId="0" fontId="78" fillId="0" borderId="0" xfId="24" applyFont="1" applyBorder="1" applyAlignment="1">
      <alignment wrapText="1"/>
      <protection/>
    </xf>
    <xf numFmtId="1" fontId="78" fillId="0" borderId="0" xfId="24" applyNumberFormat="1" applyFont="1" applyBorder="1">
      <alignment/>
      <protection/>
    </xf>
    <xf numFmtId="1" fontId="78" fillId="0" borderId="0" xfId="24" applyNumberFormat="1" applyFont="1">
      <alignment/>
      <protection/>
    </xf>
    <xf numFmtId="0" fontId="77" fillId="0" borderId="0" xfId="23" applyFont="1" applyAlignment="1" applyProtection="1">
      <alignment wrapText="1"/>
      <protection locked="0"/>
    </xf>
    <xf numFmtId="0" fontId="77" fillId="0" borderId="0" xfId="23" applyFont="1" applyFill="1" applyAlignment="1" applyProtection="1">
      <alignment wrapText="1"/>
      <protection locked="0"/>
    </xf>
    <xf numFmtId="0" fontId="16" fillId="0" borderId="0" xfId="20">
      <alignment/>
      <protection/>
    </xf>
    <xf numFmtId="0" fontId="76" fillId="0" borderId="0" xfId="23" applyFont="1" applyBorder="1" applyAlignment="1" applyProtection="1">
      <alignment horizontal="centerContinuous" vertical="center" wrapText="1"/>
      <protection locked="0"/>
    </xf>
    <xf numFmtId="0" fontId="76" fillId="0" borderId="0" xfId="23" applyFont="1" applyFill="1" applyBorder="1" applyAlignment="1" applyProtection="1">
      <alignment horizontal="centerContinuous" vertical="center" wrapText="1"/>
      <protection locked="0"/>
    </xf>
    <xf numFmtId="0" fontId="76" fillId="0" borderId="3" xfId="23" applyFont="1" applyBorder="1" applyAlignment="1" applyProtection="1">
      <alignment horizontal="center" vertical="center" wrapText="1"/>
      <protection/>
    </xf>
    <xf numFmtId="14" fontId="76" fillId="0" borderId="3" xfId="23" applyNumberFormat="1" applyFont="1" applyFill="1" applyBorder="1" applyAlignment="1" applyProtection="1">
      <alignment horizontal="center" vertical="center" wrapText="1"/>
      <protection/>
    </xf>
    <xf numFmtId="49" fontId="76" fillId="0" borderId="3" xfId="23" applyNumberFormat="1" applyFont="1" applyFill="1" applyBorder="1" applyAlignment="1" applyProtection="1">
      <alignment horizontal="center" vertical="center" wrapText="1"/>
      <protection/>
    </xf>
    <xf numFmtId="0" fontId="80" fillId="0" borderId="3" xfId="23" applyFont="1" applyBorder="1" applyAlignment="1" applyProtection="1">
      <alignment wrapText="1"/>
      <protection/>
    </xf>
    <xf numFmtId="49" fontId="80" fillId="0" borderId="3" xfId="23" applyNumberFormat="1" applyFont="1" applyBorder="1" applyAlignment="1" applyProtection="1">
      <alignment wrapText="1"/>
      <protection/>
    </xf>
    <xf numFmtId="3" fontId="77" fillId="0" borderId="3" xfId="23" applyNumberFormat="1" applyFont="1" applyFill="1" applyBorder="1" applyAlignment="1" applyProtection="1">
      <alignment wrapText="1"/>
      <protection/>
    </xf>
    <xf numFmtId="0" fontId="77" fillId="0" borderId="3" xfId="23" applyFont="1" applyBorder="1" applyAlignment="1" applyProtection="1">
      <alignment wrapText="1"/>
      <protection/>
    </xf>
    <xf numFmtId="49" fontId="77" fillId="0" borderId="3" xfId="23" applyNumberFormat="1" applyFont="1" applyBorder="1" applyAlignment="1" applyProtection="1">
      <alignment horizontal="center" wrapText="1"/>
      <protection/>
    </xf>
    <xf numFmtId="1" fontId="77" fillId="3" borderId="3" xfId="23" applyNumberFormat="1" applyFont="1" applyFill="1" applyBorder="1" applyAlignment="1" applyProtection="1">
      <alignment wrapText="1"/>
      <protection locked="0"/>
    </xf>
    <xf numFmtId="0" fontId="77" fillId="0" borderId="3" xfId="23" applyFont="1" applyFill="1" applyBorder="1" applyAlignment="1" applyProtection="1">
      <alignment wrapText="1"/>
      <protection/>
    </xf>
    <xf numFmtId="49" fontId="77" fillId="0" borderId="3" xfId="23" applyNumberFormat="1" applyFont="1" applyFill="1" applyBorder="1" applyAlignment="1" applyProtection="1">
      <alignment horizontal="center" wrapText="1"/>
      <protection/>
    </xf>
    <xf numFmtId="0" fontId="76" fillId="0" borderId="3" xfId="23" applyFont="1" applyBorder="1" applyAlignment="1" applyProtection="1">
      <alignment horizontal="right" wrapText="1"/>
      <protection/>
    </xf>
    <xf numFmtId="49" fontId="76" fillId="0" borderId="3" xfId="23" applyNumberFormat="1" applyFont="1" applyBorder="1" applyAlignment="1" applyProtection="1">
      <alignment horizontal="center" wrapText="1"/>
      <protection/>
    </xf>
    <xf numFmtId="49" fontId="80" fillId="0" borderId="3" xfId="23" applyNumberFormat="1" applyFont="1" applyBorder="1" applyAlignment="1" applyProtection="1">
      <alignment horizontal="center" wrapText="1"/>
      <protection/>
    </xf>
    <xf numFmtId="1" fontId="77" fillId="0" borderId="3" xfId="23" applyNumberFormat="1" applyFont="1" applyFill="1" applyBorder="1" applyAlignment="1" applyProtection="1">
      <alignment wrapText="1"/>
      <protection/>
    </xf>
    <xf numFmtId="0" fontId="76" fillId="0" borderId="3" xfId="23" applyFont="1" applyBorder="1" applyAlignment="1" applyProtection="1">
      <alignment wrapText="1"/>
      <protection/>
    </xf>
    <xf numFmtId="1" fontId="77" fillId="5" borderId="3" xfId="23" applyNumberFormat="1" applyFont="1" applyFill="1" applyBorder="1" applyAlignment="1" applyProtection="1">
      <alignment wrapText="1"/>
      <protection locked="0"/>
    </xf>
    <xf numFmtId="1" fontId="77" fillId="7" borderId="3" xfId="23" applyNumberFormat="1" applyFont="1" applyFill="1" applyBorder="1" applyAlignment="1" applyProtection="1">
      <alignment wrapText="1"/>
      <protection locked="0"/>
    </xf>
    <xf numFmtId="0" fontId="77" fillId="0" borderId="0" xfId="23" applyFont="1" applyBorder="1" applyAlignment="1" applyProtection="1">
      <alignment wrapText="1"/>
      <protection/>
    </xf>
    <xf numFmtId="49" fontId="77" fillId="0" borderId="0" xfId="23" applyNumberFormat="1" applyFont="1" applyBorder="1" applyAlignment="1" applyProtection="1">
      <alignment wrapText="1"/>
      <protection/>
    </xf>
    <xf numFmtId="1" fontId="77" fillId="0" borderId="0" xfId="23" applyNumberFormat="1" applyFont="1" applyFill="1" applyBorder="1" applyAlignment="1" applyProtection="1">
      <alignment wrapText="1"/>
      <protection/>
    </xf>
    <xf numFmtId="0" fontId="78" fillId="0" borderId="0" xfId="23" applyFont="1" applyFill="1" applyAlignment="1" applyProtection="1">
      <alignment wrapText="1"/>
      <protection locked="0"/>
    </xf>
    <xf numFmtId="0" fontId="76" fillId="0" borderId="0" xfId="22" applyFont="1" applyFill="1" applyAlignment="1" applyProtection="1">
      <alignment horizontal="right" vertical="top" wrapText="1"/>
      <protection locked="0"/>
    </xf>
    <xf numFmtId="0" fontId="78" fillId="0" borderId="0" xfId="23" applyFont="1" applyAlignment="1" applyProtection="1">
      <alignment wrapText="1"/>
      <protection locked="0"/>
    </xf>
    <xf numFmtId="0" fontId="78" fillId="0" borderId="0" xfId="23" applyFont="1" applyAlignment="1" applyProtection="1">
      <alignment wrapText="1"/>
      <protection/>
    </xf>
    <xf numFmtId="0" fontId="78" fillId="0" borderId="0" xfId="23" applyFont="1" applyFill="1" applyAlignment="1" applyProtection="1">
      <alignment wrapText="1"/>
      <protection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86" fillId="0" borderId="0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centerContinuous"/>
      <protection/>
    </xf>
    <xf numFmtId="0" fontId="87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8" fillId="0" borderId="0" xfId="0" applyFont="1" applyAlignment="1">
      <alignment horizontal="left"/>
    </xf>
    <xf numFmtId="0" fontId="71" fillId="2" borderId="21" xfId="0" applyFont="1" applyFill="1" applyBorder="1" applyAlignment="1" applyProtection="1">
      <alignment vertical="top" wrapText="1"/>
      <protection/>
    </xf>
    <xf numFmtId="0" fontId="71" fillId="2" borderId="47" xfId="0" applyFont="1" applyFill="1" applyBorder="1" applyAlignment="1" applyProtection="1">
      <alignment vertical="top" wrapText="1"/>
      <protection/>
    </xf>
    <xf numFmtId="0" fontId="71" fillId="2" borderId="6" xfId="0" applyFont="1" applyFill="1" applyBorder="1" applyAlignment="1" applyProtection="1">
      <alignment vertical="top" wrapText="1"/>
      <protection/>
    </xf>
    <xf numFmtId="0" fontId="71" fillId="2" borderId="9" xfId="0" applyFont="1" applyFill="1" applyBorder="1" applyAlignment="1" applyProtection="1">
      <alignment vertical="top" wrapText="1"/>
      <protection/>
    </xf>
    <xf numFmtId="0" fontId="71" fillId="2" borderId="16" xfId="0" applyFont="1" applyFill="1" applyBorder="1" applyAlignment="1" applyProtection="1">
      <alignment vertical="top" wrapText="1"/>
      <protection/>
    </xf>
    <xf numFmtId="1" fontId="71" fillId="0" borderId="22" xfId="0" applyNumberFormat="1" applyFont="1" applyBorder="1" applyAlignment="1" applyProtection="1">
      <alignment vertical="top" wrapText="1"/>
      <protection/>
    </xf>
    <xf numFmtId="1" fontId="71" fillId="0" borderId="21" xfId="0" applyNumberFormat="1" applyFont="1" applyBorder="1" applyAlignment="1" applyProtection="1">
      <alignment vertical="top" wrapText="1"/>
      <protection/>
    </xf>
    <xf numFmtId="1" fontId="72" fillId="6" borderId="3" xfId="0" applyNumberFormat="1" applyFont="1" applyFill="1" applyBorder="1" applyAlignment="1" applyProtection="1">
      <alignment vertical="top" wrapText="1"/>
      <protection/>
    </xf>
    <xf numFmtId="1" fontId="71" fillId="0" borderId="6" xfId="0" applyNumberFormat="1" applyFont="1" applyBorder="1" applyAlignment="1" applyProtection="1">
      <alignment vertical="top" wrapText="1"/>
      <protection/>
    </xf>
    <xf numFmtId="1" fontId="71" fillId="0" borderId="9" xfId="0" applyNumberFormat="1" applyFont="1" applyBorder="1" applyAlignment="1" applyProtection="1">
      <alignment vertical="top" wrapText="1"/>
      <protection/>
    </xf>
    <xf numFmtId="0" fontId="72" fillId="6" borderId="3" xfId="0" applyFont="1" applyFill="1" applyBorder="1" applyAlignment="1" applyProtection="1">
      <alignment vertical="top"/>
      <protection/>
    </xf>
    <xf numFmtId="1" fontId="71" fillId="0" borderId="7" xfId="0" applyNumberFormat="1" applyFont="1" applyBorder="1" applyAlignment="1" applyProtection="1">
      <alignment vertical="top" wrapText="1"/>
      <protection/>
    </xf>
    <xf numFmtId="1" fontId="71" fillId="0" borderId="0" xfId="0" applyNumberFormat="1" applyFont="1" applyBorder="1" applyAlignment="1" applyProtection="1">
      <alignment vertical="top" wrapText="1"/>
      <protection/>
    </xf>
    <xf numFmtId="1" fontId="72" fillId="6" borderId="3" xfId="0" applyNumberFormat="1" applyFont="1" applyFill="1" applyBorder="1" applyAlignment="1" applyProtection="1">
      <alignment vertical="top"/>
      <protection/>
    </xf>
    <xf numFmtId="1" fontId="71" fillId="0" borderId="3" xfId="0" applyNumberFormat="1" applyFont="1" applyBorder="1" applyAlignment="1" applyProtection="1">
      <alignment vertical="top" wrapText="1"/>
      <protection/>
    </xf>
    <xf numFmtId="1" fontId="71" fillId="2" borderId="3" xfId="0" applyNumberFormat="1" applyFont="1" applyFill="1" applyBorder="1" applyAlignment="1" applyProtection="1">
      <alignment vertical="top"/>
      <protection/>
    </xf>
    <xf numFmtId="1" fontId="71" fillId="0" borderId="3" xfId="0" applyNumberFormat="1" applyFont="1" applyBorder="1" applyAlignment="1" applyProtection="1">
      <alignment vertical="top"/>
      <protection/>
    </xf>
    <xf numFmtId="0" fontId="88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89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centerContinuous"/>
      <protection hidden="1"/>
    </xf>
    <xf numFmtId="0" fontId="56" fillId="0" borderId="0" xfId="0" applyFont="1" applyAlignment="1" applyProtection="1">
      <alignment horizontal="centerContinuous"/>
      <protection hidden="1"/>
    </xf>
    <xf numFmtId="0" fontId="48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Continuous" vertical="center"/>
      <protection hidden="1"/>
    </xf>
    <xf numFmtId="0" fontId="2" fillId="0" borderId="23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 locked="0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168" fontId="10" fillId="0" borderId="4" xfId="15" applyNumberFormat="1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/>
    </xf>
    <xf numFmtId="0" fontId="14" fillId="0" borderId="6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6" xfId="0" applyFont="1" applyBorder="1" applyAlignment="1" applyProtection="1">
      <alignment horizontal="center"/>
      <protection hidden="1"/>
    </xf>
    <xf numFmtId="168" fontId="5" fillId="0" borderId="4" xfId="15" applyNumberFormat="1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3" fillId="0" borderId="4" xfId="0" applyFont="1" applyBorder="1" applyAlignment="1" applyProtection="1">
      <alignment/>
      <protection hidden="1"/>
    </xf>
    <xf numFmtId="0" fontId="43" fillId="0" borderId="6" xfId="0" applyFont="1" applyBorder="1" applyAlignment="1" applyProtection="1">
      <alignment horizontal="center"/>
      <protection hidden="1"/>
    </xf>
    <xf numFmtId="0" fontId="43" fillId="0" borderId="3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43" fillId="0" borderId="3" xfId="0" applyFont="1" applyBorder="1" applyAlignment="1" applyProtection="1">
      <alignment horizontal="left"/>
      <protection hidden="1"/>
    </xf>
    <xf numFmtId="0" fontId="43" fillId="0" borderId="6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14" fillId="0" borderId="6" xfId="0" applyFont="1" applyBorder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64" fillId="0" borderId="6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43" fillId="0" borderId="6" xfId="0" applyFont="1" applyBorder="1" applyAlignment="1" applyProtection="1">
      <alignment/>
      <protection hidden="1"/>
    </xf>
    <xf numFmtId="0" fontId="66" fillId="0" borderId="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right"/>
      <protection hidden="1"/>
    </xf>
    <xf numFmtId="164" fontId="9" fillId="0" borderId="0" xfId="0" applyNumberFormat="1" applyFont="1" applyAlignment="1" applyProtection="1">
      <alignment horizontal="left"/>
      <protection hidden="1"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175" fontId="9" fillId="0" borderId="0" xfId="0" applyNumberFormat="1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Continuous" vertical="center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/>
      <protection hidden="1"/>
    </xf>
    <xf numFmtId="0" fontId="14" fillId="0" borderId="4" xfId="0" applyFont="1" applyBorder="1" applyAlignment="1" applyProtection="1">
      <alignment horizontal="center"/>
      <protection hidden="1" locked="0"/>
    </xf>
    <xf numFmtId="0" fontId="8" fillId="0" borderId="4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/>
      <protection hidden="1"/>
    </xf>
    <xf numFmtId="0" fontId="16" fillId="0" borderId="4" xfId="0" applyFont="1" applyBorder="1" applyAlignment="1" applyProtection="1">
      <alignment/>
      <protection hidden="1"/>
    </xf>
    <xf numFmtId="0" fontId="16" fillId="0" borderId="1" xfId="0" applyFont="1" applyBorder="1" applyAlignment="1" applyProtection="1">
      <alignment/>
      <protection hidden="1"/>
    </xf>
    <xf numFmtId="0" fontId="16" fillId="0" borderId="3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66" fillId="0" borderId="4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66" fillId="2" borderId="4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/>
      <protection hidden="1"/>
    </xf>
    <xf numFmtId="0" fontId="16" fillId="2" borderId="4" xfId="0" applyFont="1" applyFill="1" applyBorder="1" applyAlignment="1" applyProtection="1">
      <alignment/>
      <protection hidden="1"/>
    </xf>
    <xf numFmtId="168" fontId="5" fillId="2" borderId="4" xfId="15" applyNumberFormat="1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58" fillId="2" borderId="4" xfId="0" applyFont="1" applyFill="1" applyBorder="1" applyAlignment="1" applyProtection="1">
      <alignment/>
      <protection hidden="1" locked="0"/>
    </xf>
    <xf numFmtId="0" fontId="14" fillId="2" borderId="4" xfId="0" applyFont="1" applyFill="1" applyBorder="1" applyAlignment="1" applyProtection="1">
      <alignment/>
      <protection hidden="1" locked="0"/>
    </xf>
    <xf numFmtId="0" fontId="8" fillId="0" borderId="4" xfId="0" applyFont="1" applyBorder="1" applyAlignment="1" applyProtection="1" quotePrefix="1">
      <alignment horizontal="center"/>
      <protection hidden="1"/>
    </xf>
    <xf numFmtId="0" fontId="11" fillId="0" borderId="0" xfId="0" applyFont="1" applyAlignment="1" applyProtection="1">
      <alignment horizontal="centerContinuous"/>
      <protection hidden="1"/>
    </xf>
    <xf numFmtId="164" fontId="5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 quotePrefix="1">
      <alignment horizontal="center" vertical="center"/>
      <protection hidden="1"/>
    </xf>
    <xf numFmtId="1" fontId="84" fillId="0" borderId="4" xfId="0" applyNumberFormat="1" applyFont="1" applyBorder="1" applyAlignment="1" applyProtection="1">
      <alignment vertical="center"/>
      <protection hidden="1" locked="0"/>
    </xf>
    <xf numFmtId="168" fontId="46" fillId="0" borderId="4" xfId="15" applyNumberFormat="1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63" fillId="0" borderId="4" xfId="0" applyFont="1" applyBorder="1" applyAlignment="1" applyProtection="1">
      <alignment vertical="center"/>
      <protection hidden="1" locked="0"/>
    </xf>
    <xf numFmtId="0" fontId="16" fillId="0" borderId="1" xfId="0" applyFont="1" applyBorder="1" applyAlignment="1" applyProtection="1">
      <alignment vertical="center"/>
      <protection hidden="1"/>
    </xf>
    <xf numFmtId="168" fontId="46" fillId="2" borderId="4" xfId="15" applyNumberFormat="1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 quotePrefix="1">
      <alignment horizontal="center" vertical="center"/>
      <protection hidden="1"/>
    </xf>
    <xf numFmtId="0" fontId="1" fillId="0" borderId="2" xfId="0" applyFont="1" applyBorder="1" applyAlignment="1" applyProtection="1" quotePrefix="1">
      <alignment horizontal="center"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 quotePrefix="1">
      <alignment horizontal="center"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6" fillId="0" borderId="4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 quotePrefix="1">
      <alignment horizontal="center" vertical="center"/>
      <protection hidden="1"/>
    </xf>
    <xf numFmtId="0" fontId="15" fillId="2" borderId="2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 quotePrefix="1">
      <alignment horizontal="center" vertical="center"/>
      <protection hidden="1"/>
    </xf>
    <xf numFmtId="0" fontId="63" fillId="2" borderId="4" xfId="0" applyFont="1" applyFill="1" applyBorder="1" applyAlignment="1" applyProtection="1">
      <alignment vertical="center"/>
      <protection hidden="1" locked="0"/>
    </xf>
    <xf numFmtId="0" fontId="15" fillId="0" borderId="0" xfId="0" applyFont="1" applyAlignment="1" applyProtection="1">
      <alignment vertical="center"/>
      <protection hidden="1"/>
    </xf>
    <xf numFmtId="0" fontId="29" fillId="0" borderId="1" xfId="0" applyFont="1" applyBorder="1" applyAlignment="1" applyProtection="1">
      <alignment vertical="center"/>
      <protection hidden="1" locked="0"/>
    </xf>
    <xf numFmtId="0" fontId="29" fillId="0" borderId="1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vertical="center"/>
      <protection hidden="1" locked="0"/>
    </xf>
    <xf numFmtId="0" fontId="63" fillId="0" borderId="4" xfId="0" applyFont="1" applyBorder="1" applyAlignment="1" applyProtection="1" quotePrefix="1">
      <alignment horizontal="center" vertical="center"/>
      <protection hidden="1" locked="0"/>
    </xf>
    <xf numFmtId="168" fontId="1" fillId="0" borderId="4" xfId="0" applyNumberFormat="1" applyFont="1" applyBorder="1" applyAlignment="1" applyProtection="1">
      <alignment vertical="center"/>
      <protection hidden="1"/>
    </xf>
    <xf numFmtId="3" fontId="84" fillId="0" borderId="4" xfId="0" applyNumberFormat="1" applyFont="1" applyBorder="1" applyAlignment="1" applyProtection="1">
      <alignment vertical="center"/>
      <protection hidden="1" locked="0"/>
    </xf>
    <xf numFmtId="0" fontId="16" fillId="0" borderId="3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32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33" fillId="0" borderId="0" xfId="0" applyFont="1" applyAlignment="1" applyProtection="1" quotePrefix="1">
      <alignment horizontal="centerContinuous"/>
      <protection hidden="1"/>
    </xf>
    <xf numFmtId="164" fontId="7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34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48" xfId="0" applyFont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35" fillId="0" borderId="48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Continuous" vertical="center"/>
      <protection hidden="1"/>
    </xf>
    <xf numFmtId="0" fontId="32" fillId="0" borderId="20" xfId="0" applyFont="1" applyBorder="1" applyAlignment="1" applyProtection="1">
      <alignment horizontal="centerContinuous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vertical="center"/>
      <protection hidden="1"/>
    </xf>
    <xf numFmtId="0" fontId="32" fillId="0" borderId="49" xfId="0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vertical="center"/>
      <protection hidden="1"/>
    </xf>
    <xf numFmtId="0" fontId="9" fillId="0" borderId="50" xfId="0" applyFont="1" applyBorder="1" applyAlignment="1" applyProtection="1">
      <alignment vertical="center"/>
      <protection hidden="1"/>
    </xf>
    <xf numFmtId="0" fontId="9" fillId="0" borderId="41" xfId="0" applyFont="1" applyBorder="1" applyAlignment="1" applyProtection="1">
      <alignment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2" borderId="30" xfId="0" applyFont="1" applyFill="1" applyBorder="1" applyAlignment="1" applyProtection="1" quotePrefix="1">
      <alignment horizontal="center"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13" fillId="2" borderId="9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0" fontId="9" fillId="2" borderId="51" xfId="0" applyFont="1" applyFill="1" applyBorder="1" applyAlignment="1" applyProtection="1" quotePrefix="1">
      <alignment horizontal="center"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21" xfId="0" applyFont="1" applyFill="1" applyBorder="1" applyAlignment="1" applyProtection="1">
      <alignment/>
      <protection hidden="1"/>
    </xf>
    <xf numFmtId="0" fontId="9" fillId="2" borderId="37" xfId="0" applyFont="1" applyFill="1" applyBorder="1" applyAlignment="1" applyProtection="1">
      <alignment/>
      <protection hidden="1"/>
    </xf>
    <xf numFmtId="0" fontId="9" fillId="2" borderId="40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9" fillId="2" borderId="17" xfId="0" applyFont="1" applyFill="1" applyBorder="1" applyAlignment="1" applyProtection="1">
      <alignment horizontal="right"/>
      <protection hidden="1"/>
    </xf>
    <xf numFmtId="0" fontId="9" fillId="2" borderId="10" xfId="0" applyFont="1" applyFill="1" applyBorder="1" applyAlignment="1" applyProtection="1" quotePrefix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32" fillId="2" borderId="6" xfId="0" applyFont="1" applyFill="1" applyBorder="1" applyAlignment="1" applyProtection="1">
      <alignment/>
      <protection hidden="1"/>
    </xf>
    <xf numFmtId="0" fontId="9" fillId="2" borderId="37" xfId="0" applyFont="1" applyFill="1" applyBorder="1" applyAlignment="1" applyProtection="1">
      <alignment horizontal="right"/>
      <protection hidden="1"/>
    </xf>
    <xf numFmtId="0" fontId="9" fillId="2" borderId="40" xfId="0" applyFont="1" applyFill="1" applyBorder="1" applyAlignment="1" applyProtection="1" quotePrefix="1">
      <alignment horizontal="center"/>
      <protection hidden="1"/>
    </xf>
    <xf numFmtId="0" fontId="9" fillId="2" borderId="17" xfId="0" applyFont="1" applyFill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 quotePrefix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0" fontId="9" fillId="2" borderId="52" xfId="0" applyFont="1" applyFill="1" applyBorder="1" applyAlignment="1" applyProtection="1">
      <alignment horizontal="center"/>
      <protection hidden="1"/>
    </xf>
    <xf numFmtId="0" fontId="9" fillId="2" borderId="53" xfId="0" applyFont="1" applyFill="1" applyBorder="1" applyAlignment="1" applyProtection="1">
      <alignment horizontal="center"/>
      <protection hidden="1"/>
    </xf>
    <xf numFmtId="0" fontId="9" fillId="2" borderId="50" xfId="0" applyFont="1" applyFill="1" applyBorder="1" applyAlignment="1" applyProtection="1">
      <alignment/>
      <protection hidden="1"/>
    </xf>
    <xf numFmtId="0" fontId="9" fillId="2" borderId="41" xfId="0" applyFont="1" applyFill="1" applyBorder="1" applyAlignment="1" applyProtection="1">
      <alignment/>
      <protection hidden="1"/>
    </xf>
    <xf numFmtId="0" fontId="9" fillId="2" borderId="54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169" fontId="9" fillId="0" borderId="0" xfId="25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Continuous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69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right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right"/>
      <protection hidden="1"/>
    </xf>
    <xf numFmtId="169" fontId="9" fillId="0" borderId="0" xfId="25" applyNumberFormat="1" applyFont="1" applyBorder="1" applyAlignment="1" applyProtection="1">
      <alignment horizontal="right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169" fontId="9" fillId="0" borderId="9" xfId="25" applyNumberFormat="1" applyFont="1" applyBorder="1" applyAlignment="1" applyProtection="1">
      <alignment horizontal="right"/>
      <protection hidden="1"/>
    </xf>
    <xf numFmtId="169" fontId="9" fillId="0" borderId="0" xfId="0" applyNumberFormat="1" applyFont="1" applyAlignment="1" applyProtection="1">
      <alignment horizontal="centerContinuous"/>
      <protection hidden="1"/>
    </xf>
    <xf numFmtId="164" fontId="9" fillId="2" borderId="25" xfId="0" applyNumberFormat="1" applyFont="1" applyFill="1" applyBorder="1" applyAlignment="1" applyProtection="1">
      <alignment horizontal="centerContinuous" vertical="center"/>
      <protection hidden="1"/>
    </xf>
    <xf numFmtId="0" fontId="32" fillId="2" borderId="55" xfId="0" applyFont="1" applyFill="1" applyBorder="1" applyAlignment="1" applyProtection="1">
      <alignment horizontal="centerContinuous" vertical="center"/>
      <protection hidden="1"/>
    </xf>
    <xf numFmtId="0" fontId="9" fillId="2" borderId="25" xfId="0" applyFont="1" applyFill="1" applyBorder="1" applyAlignment="1" applyProtection="1">
      <alignment horizontal="centerContinuous" vertical="center"/>
      <protection hidden="1"/>
    </xf>
    <xf numFmtId="0" fontId="9" fillId="2" borderId="20" xfId="0" applyFont="1" applyFill="1" applyBorder="1" applyAlignment="1" applyProtection="1">
      <alignment horizontal="centerContinuous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54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49" xfId="0" applyFont="1" applyFill="1" applyBorder="1" applyAlignment="1" applyProtection="1">
      <alignment horizontal="center" vertical="center"/>
      <protection hidden="1"/>
    </xf>
    <xf numFmtId="0" fontId="9" fillId="2" borderId="56" xfId="0" applyFont="1" applyFill="1" applyBorder="1" applyAlignment="1" applyProtection="1">
      <alignment/>
      <protection hidden="1"/>
    </xf>
    <xf numFmtId="0" fontId="9" fillId="2" borderId="55" xfId="0" applyFont="1" applyFill="1" applyBorder="1" applyAlignment="1" applyProtection="1">
      <alignment/>
      <protection hidden="1"/>
    </xf>
    <xf numFmtId="0" fontId="9" fillId="2" borderId="25" xfId="0" applyFont="1" applyFill="1" applyBorder="1" applyAlignment="1" applyProtection="1">
      <alignment/>
      <protection hidden="1"/>
    </xf>
    <xf numFmtId="169" fontId="9" fillId="2" borderId="36" xfId="25" applyNumberFormat="1" applyFont="1" applyFill="1" applyBorder="1" applyAlignment="1" applyProtection="1">
      <alignment/>
      <protection hidden="1"/>
    </xf>
    <xf numFmtId="0" fontId="9" fillId="2" borderId="36" xfId="0" applyFont="1" applyFill="1" applyBorder="1" applyAlignment="1" applyProtection="1">
      <alignment/>
      <protection hidden="1"/>
    </xf>
    <xf numFmtId="169" fontId="9" fillId="2" borderId="20" xfId="0" applyNumberFormat="1" applyFont="1" applyFill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/>
      <protection hidden="1"/>
    </xf>
    <xf numFmtId="169" fontId="9" fillId="2" borderId="3" xfId="25" applyNumberFormat="1" applyFont="1" applyFill="1" applyBorder="1" applyAlignment="1" applyProtection="1">
      <alignment/>
      <protection hidden="1"/>
    </xf>
    <xf numFmtId="169" fontId="9" fillId="2" borderId="16" xfId="0" applyNumberFormat="1" applyFont="1" applyFill="1" applyBorder="1" applyAlignment="1" applyProtection="1">
      <alignment/>
      <protection hidden="1"/>
    </xf>
    <xf numFmtId="0" fontId="32" fillId="2" borderId="39" xfId="0" applyFont="1" applyFill="1" applyBorder="1" applyAlignment="1" applyProtection="1">
      <alignment/>
      <protection hidden="1"/>
    </xf>
    <xf numFmtId="0" fontId="32" fillId="2" borderId="39" xfId="0" applyFont="1" applyFill="1" applyBorder="1" applyAlignment="1" applyProtection="1">
      <alignment/>
      <protection hidden="1"/>
    </xf>
    <xf numFmtId="0" fontId="9" fillId="2" borderId="57" xfId="0" applyFont="1" applyFill="1" applyBorder="1" applyAlignment="1" applyProtection="1">
      <alignment/>
      <protection hidden="1"/>
    </xf>
    <xf numFmtId="0" fontId="9" fillId="2" borderId="27" xfId="0" applyFont="1" applyFill="1" applyBorder="1" applyAlignment="1" applyProtection="1">
      <alignment/>
      <protection hidden="1"/>
    </xf>
    <xf numFmtId="0" fontId="9" fillId="2" borderId="28" xfId="0" applyFont="1" applyFill="1" applyBorder="1" applyAlignment="1" applyProtection="1">
      <alignment/>
      <protection hidden="1"/>
    </xf>
    <xf numFmtId="169" fontId="9" fillId="2" borderId="28" xfId="25" applyNumberFormat="1" applyFont="1" applyFill="1" applyBorder="1" applyAlignment="1" applyProtection="1">
      <alignment/>
      <protection hidden="1"/>
    </xf>
    <xf numFmtId="169" fontId="9" fillId="2" borderId="19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9" fillId="0" borderId="49" xfId="0" applyFont="1" applyBorder="1" applyAlignment="1" applyProtection="1">
      <alignment vertical="center"/>
      <protection hidden="1"/>
    </xf>
    <xf numFmtId="0" fontId="32" fillId="2" borderId="9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 horizontal="centerContinuous"/>
      <protection hidden="1"/>
    </xf>
    <xf numFmtId="0" fontId="9" fillId="2" borderId="21" xfId="0" applyFont="1" applyFill="1" applyBorder="1" applyAlignment="1" applyProtection="1">
      <alignment horizontal="centerContinuous"/>
      <protection hidden="1"/>
    </xf>
    <xf numFmtId="0" fontId="9" fillId="2" borderId="37" xfId="0" applyFont="1" applyFill="1" applyBorder="1" applyAlignment="1" applyProtection="1">
      <alignment horizontal="centerContinuous"/>
      <protection hidden="1"/>
    </xf>
    <xf numFmtId="0" fontId="9" fillId="2" borderId="7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Continuous"/>
      <protection hidden="1"/>
    </xf>
    <xf numFmtId="0" fontId="9" fillId="2" borderId="9" xfId="0" applyFont="1" applyFill="1" applyBorder="1" applyAlignment="1" applyProtection="1">
      <alignment horizontal="centerContinuous"/>
      <protection hidden="1"/>
    </xf>
    <xf numFmtId="0" fontId="9" fillId="2" borderId="17" xfId="0" applyFont="1" applyFill="1" applyBorder="1" applyAlignment="1" applyProtection="1">
      <alignment horizontal="centerContinuous"/>
      <protection hidden="1"/>
    </xf>
    <xf numFmtId="2" fontId="9" fillId="2" borderId="9" xfId="0" applyNumberFormat="1" applyFont="1" applyFill="1" applyBorder="1" applyAlignment="1" applyProtection="1">
      <alignment/>
      <protection hidden="1"/>
    </xf>
    <xf numFmtId="10" fontId="9" fillId="2" borderId="54" xfId="25" applyNumberFormat="1" applyFont="1" applyFill="1" applyBorder="1" applyAlignment="1" applyProtection="1">
      <alignment/>
      <protection hidden="1"/>
    </xf>
    <xf numFmtId="10" fontId="9" fillId="0" borderId="0" xfId="25" applyNumberFormat="1" applyFont="1" applyBorder="1" applyAlignment="1" applyProtection="1">
      <alignment/>
      <protection hidden="1"/>
    </xf>
    <xf numFmtId="169" fontId="9" fillId="0" borderId="0" xfId="25" applyNumberFormat="1" applyFont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8" xfId="0" applyFont="1" applyFill="1" applyBorder="1" applyAlignment="1" applyProtection="1">
      <alignment vertical="center"/>
      <protection hidden="1"/>
    </xf>
    <xf numFmtId="0" fontId="9" fillId="2" borderId="48" xfId="0" applyFont="1" applyFill="1" applyBorder="1" applyAlignment="1" applyProtection="1">
      <alignment vertical="center"/>
      <protection hidden="1"/>
    </xf>
    <xf numFmtId="0" fontId="9" fillId="2" borderId="43" xfId="0" applyFont="1" applyFill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9" fillId="2" borderId="50" xfId="0" applyFont="1" applyFill="1" applyBorder="1" applyAlignment="1" applyProtection="1">
      <alignment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10" fontId="0" fillId="0" borderId="3" xfId="25" applyNumberFormat="1" applyBorder="1" applyAlignment="1" applyProtection="1">
      <alignment/>
      <protection hidden="1"/>
    </xf>
    <xf numFmtId="0" fontId="13" fillId="2" borderId="39" xfId="0" applyFont="1" applyFill="1" applyBorder="1" applyAlignment="1" applyProtection="1">
      <alignment horizontal="centerContinuous" vertical="center"/>
      <protection hidden="1"/>
    </xf>
    <xf numFmtId="0" fontId="41" fillId="2" borderId="9" xfId="0" applyFont="1" applyFill="1" applyBorder="1" applyAlignment="1" applyProtection="1">
      <alignment horizontal="centerContinuous" vertical="center"/>
      <protection hidden="1"/>
    </xf>
    <xf numFmtId="0" fontId="13" fillId="2" borderId="9" xfId="0" applyFont="1" applyFill="1" applyBorder="1" applyAlignment="1" applyProtection="1">
      <alignment horizontal="centerContinuous" vertical="center"/>
      <protection hidden="1"/>
    </xf>
    <xf numFmtId="1" fontId="13" fillId="2" borderId="9" xfId="0" applyNumberFormat="1" applyFont="1" applyFill="1" applyBorder="1" applyAlignment="1" applyProtection="1">
      <alignment horizontal="centerContinuous" vertical="center"/>
      <protection hidden="1"/>
    </xf>
    <xf numFmtId="169" fontId="13" fillId="2" borderId="16" xfId="25" applyNumberFormat="1" applyFont="1" applyFill="1" applyBorder="1" applyAlignment="1" applyProtection="1">
      <alignment horizontal="centerContinuous" vertical="center"/>
      <protection hidden="1"/>
    </xf>
    <xf numFmtId="0" fontId="9" fillId="2" borderId="39" xfId="0" applyFont="1" applyFill="1" applyBorder="1" applyAlignment="1" applyProtection="1" quotePrefix="1">
      <alignment horizontal="center"/>
      <protection hidden="1"/>
    </xf>
    <xf numFmtId="0" fontId="9" fillId="2" borderId="9" xfId="0" applyFont="1" applyFill="1" applyBorder="1" applyAlignment="1" applyProtection="1">
      <alignment horizontal="centerContinuous" vertical="center"/>
      <protection hidden="1"/>
    </xf>
    <xf numFmtId="2" fontId="9" fillId="2" borderId="9" xfId="0" applyNumberFormat="1" applyFont="1" applyFill="1" applyBorder="1" applyAlignment="1" applyProtection="1">
      <alignment horizontal="centerContinuous" vertical="center"/>
      <protection hidden="1"/>
    </xf>
    <xf numFmtId="2" fontId="9" fillId="2" borderId="6" xfId="0" applyNumberFormat="1" applyFont="1" applyFill="1" applyBorder="1" applyAlignment="1" applyProtection="1">
      <alignment horizontal="centerContinuous" vertical="center"/>
      <protection hidden="1"/>
    </xf>
    <xf numFmtId="169" fontId="9" fillId="2" borderId="16" xfId="25" applyNumberFormat="1" applyFont="1" applyFill="1" applyBorder="1" applyAlignment="1" applyProtection="1">
      <alignment horizontal="centerContinuous" vertical="center"/>
      <protection hidden="1"/>
    </xf>
    <xf numFmtId="0" fontId="13" fillId="2" borderId="9" xfId="0" applyFont="1" applyFill="1" applyBorder="1" applyAlignment="1" applyProtection="1">
      <alignment horizontal="right"/>
      <protection hidden="1"/>
    </xf>
    <xf numFmtId="0" fontId="9" fillId="2" borderId="27" xfId="0" applyFont="1" applyFill="1" applyBorder="1" applyAlignment="1" applyProtection="1" quotePrefix="1">
      <alignment horizontal="center"/>
      <protection hidden="1"/>
    </xf>
    <xf numFmtId="2" fontId="9" fillId="2" borderId="50" xfId="0" applyNumberFormat="1" applyFont="1" applyFill="1" applyBorder="1" applyAlignment="1" applyProtection="1">
      <alignment/>
      <protection hidden="1"/>
    </xf>
    <xf numFmtId="169" fontId="9" fillId="2" borderId="29" xfId="25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 quotePrefix="1">
      <alignment horizontal="center"/>
      <protection hidden="1"/>
    </xf>
    <xf numFmtId="2" fontId="9" fillId="2" borderId="0" xfId="0" applyNumberFormat="1" applyFont="1" applyFill="1" applyBorder="1" applyAlignment="1" applyProtection="1">
      <alignment/>
      <protection hidden="1"/>
    </xf>
    <xf numFmtId="169" fontId="9" fillId="2" borderId="0" xfId="25" applyNumberFormat="1" applyFont="1" applyFill="1" applyBorder="1" applyAlignment="1" applyProtection="1">
      <alignment/>
      <protection hidden="1"/>
    </xf>
    <xf numFmtId="169" fontId="9" fillId="0" borderId="0" xfId="0" applyNumberFormat="1" applyFont="1" applyAlignment="1" applyProtection="1">
      <alignment horizontal="left"/>
      <protection hidden="1"/>
    </xf>
    <xf numFmtId="0" fontId="9" fillId="0" borderId="9" xfId="0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10" fontId="0" fillId="0" borderId="0" xfId="25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9" fillId="2" borderId="3" xfId="0" applyNumberFormat="1" applyFont="1" applyFill="1" applyBorder="1" applyAlignment="1" applyProtection="1">
      <alignment/>
      <protection hidden="1"/>
    </xf>
    <xf numFmtId="170" fontId="9" fillId="2" borderId="4" xfId="0" applyNumberFormat="1" applyFont="1" applyFill="1" applyBorder="1" applyAlignment="1" applyProtection="1">
      <alignment/>
      <protection hidden="1"/>
    </xf>
    <xf numFmtId="169" fontId="9" fillId="2" borderId="4" xfId="25" applyNumberFormat="1" applyFont="1" applyFill="1" applyBorder="1" applyAlignment="1" applyProtection="1">
      <alignment/>
      <protection hidden="1"/>
    </xf>
    <xf numFmtId="169" fontId="9" fillId="2" borderId="9" xfId="25" applyNumberFormat="1" applyFont="1" applyFill="1" applyBorder="1" applyAlignment="1" applyProtection="1">
      <alignment/>
      <protection hidden="1"/>
    </xf>
    <xf numFmtId="0" fontId="32" fillId="2" borderId="9" xfId="0" applyFont="1" applyFill="1" applyBorder="1" applyAlignment="1" applyProtection="1">
      <alignment/>
      <protection hidden="1"/>
    </xf>
    <xf numFmtId="10" fontId="9" fillId="2" borderId="9" xfId="25" applyNumberFormat="1" applyFont="1" applyFill="1" applyBorder="1" applyAlignment="1" applyProtection="1">
      <alignment/>
      <protection hidden="1"/>
    </xf>
    <xf numFmtId="0" fontId="9" fillId="2" borderId="52" xfId="0" applyFont="1" applyFill="1" applyBorder="1" applyAlignment="1" applyProtection="1" quotePrefix="1">
      <alignment horizontal="center"/>
      <protection hidden="1"/>
    </xf>
    <xf numFmtId="10" fontId="9" fillId="2" borderId="0" xfId="25" applyNumberFormat="1" applyFont="1" applyFill="1" applyBorder="1" applyAlignment="1" applyProtection="1">
      <alignment/>
      <protection hidden="1"/>
    </xf>
    <xf numFmtId="169" fontId="9" fillId="2" borderId="17" xfId="25" applyNumberFormat="1" applyFont="1" applyFill="1" applyBorder="1" applyAlignment="1" applyProtection="1">
      <alignment/>
      <protection hidden="1"/>
    </xf>
    <xf numFmtId="0" fontId="9" fillId="2" borderId="53" xfId="0" applyFont="1" applyFill="1" applyBorder="1" applyAlignment="1" applyProtection="1" quotePrefix="1">
      <alignment horizontal="center"/>
      <protection hidden="1"/>
    </xf>
    <xf numFmtId="0" fontId="32" fillId="2" borderId="41" xfId="0" applyFont="1" applyFill="1" applyBorder="1" applyAlignment="1" applyProtection="1">
      <alignment/>
      <protection hidden="1"/>
    </xf>
    <xf numFmtId="2" fontId="9" fillId="2" borderId="28" xfId="0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right"/>
      <protection hidden="1"/>
    </xf>
    <xf numFmtId="0" fontId="32" fillId="0" borderId="0" xfId="0" applyFont="1" applyBorder="1" applyAlignment="1" applyProtection="1">
      <alignment/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7" fillId="2" borderId="7" xfId="0" applyFont="1" applyFill="1" applyBorder="1" applyAlignment="1" applyProtection="1">
      <alignment horizontal="centerContinuous" vertical="center"/>
      <protection hidden="1"/>
    </xf>
    <xf numFmtId="1" fontId="9" fillId="2" borderId="28" xfId="0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center"/>
      <protection hidden="1"/>
    </xf>
    <xf numFmtId="1" fontId="9" fillId="0" borderId="0" xfId="0" applyNumberFormat="1" applyFont="1" applyBorder="1" applyAlignment="1" applyProtection="1">
      <alignment/>
      <protection hidden="1"/>
    </xf>
    <xf numFmtId="0" fontId="9" fillId="2" borderId="45" xfId="0" applyFont="1" applyFill="1" applyBorder="1" applyAlignment="1" applyProtection="1" quotePrefix="1">
      <alignment horizontal="center"/>
      <protection hidden="1"/>
    </xf>
    <xf numFmtId="0" fontId="9" fillId="2" borderId="38" xfId="0" applyFont="1" applyFill="1" applyBorder="1" applyAlignment="1" applyProtection="1">
      <alignment/>
      <protection hidden="1"/>
    </xf>
    <xf numFmtId="0" fontId="9" fillId="2" borderId="53" xfId="0" applyFont="1" applyFill="1" applyBorder="1" applyAlignment="1" applyProtection="1" quotePrefix="1">
      <alignment horizontal="right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2" borderId="46" xfId="0" applyFont="1" applyFill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10" fontId="9" fillId="2" borderId="28" xfId="25" applyNumberFormat="1" applyFont="1" applyFill="1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48" xfId="0" applyFont="1" applyFill="1" applyBorder="1" applyAlignment="1" applyProtection="1">
      <alignment horizontal="centerContinuous" vertical="center"/>
      <protection hidden="1"/>
    </xf>
    <xf numFmtId="0" fontId="9" fillId="2" borderId="43" xfId="0" applyFont="1" applyFill="1" applyBorder="1" applyAlignment="1" applyProtection="1">
      <alignment horizontal="centerContinuous" vertical="center"/>
      <protection hidden="1"/>
    </xf>
    <xf numFmtId="0" fontId="9" fillId="2" borderId="50" xfId="0" applyFont="1" applyFill="1" applyBorder="1" applyAlignment="1" applyProtection="1">
      <alignment horizontal="centerContinuous" vertical="center"/>
      <protection hidden="1"/>
    </xf>
    <xf numFmtId="0" fontId="9" fillId="2" borderId="41" xfId="0" applyFont="1" applyFill="1" applyBorder="1" applyAlignment="1" applyProtection="1">
      <alignment horizontal="centerContinuous" vertical="center"/>
      <protection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53" xfId="0" applyFont="1" applyFill="1" applyBorder="1" applyAlignment="1" applyProtection="1">
      <alignment horizontal="right"/>
      <protection hidden="1"/>
    </xf>
    <xf numFmtId="0" fontId="9" fillId="2" borderId="58" xfId="0" applyFont="1" applyFill="1" applyBorder="1" applyAlignment="1" applyProtection="1">
      <alignment/>
      <protection hidden="1"/>
    </xf>
    <xf numFmtId="0" fontId="9" fillId="2" borderId="58" xfId="0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9" fillId="2" borderId="60" xfId="0" applyFont="1" applyFill="1" applyBorder="1" applyAlignment="1" applyProtection="1">
      <alignment vertical="center"/>
      <protection hidden="1"/>
    </xf>
    <xf numFmtId="0" fontId="9" fillId="2" borderId="52" xfId="0" applyFont="1" applyFill="1" applyBorder="1" applyAlignment="1" applyProtection="1">
      <alignment horizontal="center" vertical="center"/>
      <protection hidden="1"/>
    </xf>
    <xf numFmtId="0" fontId="9" fillId="2" borderId="53" xfId="0" applyFont="1" applyFill="1" applyBorder="1" applyAlignment="1" applyProtection="1">
      <alignment vertical="center"/>
      <protection hidden="1"/>
    </xf>
    <xf numFmtId="0" fontId="9" fillId="2" borderId="53" xfId="0" applyFont="1" applyFill="1" applyBorder="1" applyAlignment="1" applyProtection="1">
      <alignment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169" fontId="9" fillId="2" borderId="41" xfId="25" applyNumberFormat="1" applyFont="1" applyFill="1" applyBorder="1" applyAlignment="1" applyProtection="1">
      <alignment/>
      <protection hidden="1"/>
    </xf>
    <xf numFmtId="0" fontId="9" fillId="0" borderId="48" xfId="0" applyFont="1" applyBorder="1" applyAlignment="1" applyProtection="1">
      <alignment horizontal="centerContinuous" vertical="center"/>
      <protection hidden="1"/>
    </xf>
    <xf numFmtId="0" fontId="9" fillId="0" borderId="43" xfId="0" applyFont="1" applyBorder="1" applyAlignment="1" applyProtection="1">
      <alignment horizontal="centerContinuous" vertical="center"/>
      <protection hidden="1"/>
    </xf>
    <xf numFmtId="0" fontId="9" fillId="0" borderId="50" xfId="0" applyFont="1" applyBorder="1" applyAlignment="1" applyProtection="1">
      <alignment horizontal="centerContinuous" vertical="center"/>
      <protection hidden="1"/>
    </xf>
    <xf numFmtId="0" fontId="9" fillId="0" borderId="41" xfId="0" applyFont="1" applyBorder="1" applyAlignment="1" applyProtection="1">
      <alignment horizontal="centerContinuous" vertical="center"/>
      <protection hidden="1"/>
    </xf>
    <xf numFmtId="0" fontId="41" fillId="2" borderId="9" xfId="0" applyFont="1" applyFill="1" applyBorder="1" applyAlignment="1" applyProtection="1">
      <alignment/>
      <protection hidden="1"/>
    </xf>
    <xf numFmtId="0" fontId="9" fillId="0" borderId="30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 horizontal="centerContinuous"/>
      <protection hidden="1"/>
    </xf>
    <xf numFmtId="0" fontId="7" fillId="0" borderId="9" xfId="0" applyFont="1" applyBorder="1" applyAlignment="1" applyProtection="1">
      <alignment horizontal="centerContinuous"/>
      <protection hidden="1"/>
    </xf>
    <xf numFmtId="0" fontId="7" fillId="0" borderId="17" xfId="0" applyFont="1" applyBorder="1" applyAlignment="1" applyProtection="1">
      <alignment horizontal="centerContinuous"/>
      <protection hidden="1"/>
    </xf>
    <xf numFmtId="0" fontId="9" fillId="0" borderId="12" xfId="0" applyFont="1" applyBorder="1" applyAlignment="1" applyProtection="1">
      <alignment/>
      <protection hidden="1"/>
    </xf>
    <xf numFmtId="0" fontId="32" fillId="2" borderId="13" xfId="0" applyFont="1" applyFill="1" applyBorder="1" applyAlignment="1" applyProtection="1">
      <alignment/>
      <protection hidden="1"/>
    </xf>
    <xf numFmtId="173" fontId="0" fillId="0" borderId="3" xfId="0" applyNumberFormat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173" fontId="0" fillId="0" borderId="1" xfId="0" applyNumberFormat="1" applyBorder="1" applyAlignment="1" applyProtection="1">
      <alignment/>
      <protection hidden="1"/>
    </xf>
    <xf numFmtId="171" fontId="0" fillId="0" borderId="3" xfId="0" applyNumberFormat="1" applyBorder="1" applyAlignment="1" applyProtection="1">
      <alignment/>
      <protection hidden="1"/>
    </xf>
    <xf numFmtId="0" fontId="12" fillId="2" borderId="9" xfId="0" applyFont="1" applyFill="1" applyBorder="1" applyAlignment="1" applyProtection="1">
      <alignment/>
      <protection hidden="1"/>
    </xf>
    <xf numFmtId="0" fontId="9" fillId="2" borderId="31" xfId="0" applyFont="1" applyFill="1" applyBorder="1" applyAlignment="1" applyProtection="1" quotePrefix="1">
      <alignment horizontal="center"/>
      <protection hidden="1"/>
    </xf>
    <xf numFmtId="173" fontId="0" fillId="0" borderId="18" xfId="0" applyNumberFormat="1" applyBorder="1" applyAlignment="1" applyProtection="1">
      <alignment/>
      <protection hidden="1"/>
    </xf>
    <xf numFmtId="169" fontId="9" fillId="2" borderId="0" xfId="25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Continuous"/>
      <protection hidden="1"/>
    </xf>
    <xf numFmtId="168" fontId="9" fillId="2" borderId="0" xfId="0" applyNumberFormat="1" applyFont="1" applyFill="1" applyAlignment="1" applyProtection="1">
      <alignment horizontal="center"/>
      <protection hidden="1"/>
    </xf>
    <xf numFmtId="10" fontId="9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 quotePrefix="1">
      <alignment/>
      <protection hidden="1"/>
    </xf>
    <xf numFmtId="10" fontId="9" fillId="2" borderId="0" xfId="0" applyNumberFormat="1" applyFont="1" applyFill="1" applyAlignment="1" applyProtection="1">
      <alignment horizontal="left"/>
      <protection hidden="1"/>
    </xf>
    <xf numFmtId="169" fontId="9" fillId="2" borderId="0" xfId="0" applyNumberFormat="1" applyFont="1" applyFill="1" applyAlignment="1" applyProtection="1">
      <alignment horizontal="center"/>
      <protection hidden="1"/>
    </xf>
    <xf numFmtId="0" fontId="34" fillId="2" borderId="0" xfId="0" applyFont="1" applyFill="1" applyAlignment="1" applyProtection="1">
      <alignment/>
      <protection hidden="1"/>
    </xf>
    <xf numFmtId="169" fontId="9" fillId="2" borderId="0" xfId="0" applyNumberFormat="1" applyFont="1" applyFill="1" applyAlignment="1" applyProtection="1">
      <alignment horizontal="centerContinuous"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9" fontId="0" fillId="0" borderId="0" xfId="0" applyNumberFormat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left"/>
      <protection hidden="1"/>
    </xf>
    <xf numFmtId="0" fontId="52" fillId="0" borderId="0" xfId="0" applyFont="1" applyAlignment="1" applyProtection="1">
      <alignment horizontal="right"/>
      <protection hidden="1"/>
    </xf>
    <xf numFmtId="0" fontId="52" fillId="0" borderId="0" xfId="0" applyFont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169" fontId="0" fillId="0" borderId="0" xfId="25" applyNumberFormat="1" applyAlignment="1" applyProtection="1">
      <alignment/>
      <protection hidden="1"/>
    </xf>
    <xf numFmtId="173" fontId="0" fillId="0" borderId="9" xfId="0" applyNumberFormat="1" applyBorder="1" applyAlignment="1" applyProtection="1">
      <alignment/>
      <protection hidden="1"/>
    </xf>
    <xf numFmtId="169" fontId="0" fillId="0" borderId="9" xfId="25" applyNumberFormat="1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hidden="1"/>
    </xf>
    <xf numFmtId="169" fontId="0" fillId="0" borderId="0" xfId="0" applyNumberFormat="1" applyBorder="1" applyAlignment="1" applyProtection="1">
      <alignment/>
      <protection hidden="1"/>
    </xf>
    <xf numFmtId="175" fontId="7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/>
      <protection hidden="1"/>
    </xf>
    <xf numFmtId="14" fontId="12" fillId="2" borderId="9" xfId="0" applyNumberFormat="1" applyFont="1" applyFill="1" applyBorder="1" applyAlignment="1" applyProtection="1">
      <alignment horizontal="center"/>
      <protection hidden="1"/>
    </xf>
    <xf numFmtId="171" fontId="9" fillId="2" borderId="4" xfId="0" applyNumberFormat="1" applyFont="1" applyFill="1" applyBorder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1" fontId="9" fillId="2" borderId="2" xfId="0" applyNumberFormat="1" applyFont="1" applyFill="1" applyBorder="1" applyAlignment="1" applyProtection="1">
      <alignment/>
      <protection hidden="1"/>
    </xf>
    <xf numFmtId="0" fontId="32" fillId="2" borderId="5" xfId="0" applyFont="1" applyFill="1" applyBorder="1" applyAlignment="1" applyProtection="1">
      <alignment/>
      <protection hidden="1"/>
    </xf>
    <xf numFmtId="2" fontId="9" fillId="2" borderId="4" xfId="0" applyNumberFormat="1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169" fontId="9" fillId="2" borderId="16" xfId="25" applyNumberFormat="1" applyFont="1" applyFill="1" applyBorder="1" applyAlignment="1" applyProtection="1">
      <alignment horizontal="right"/>
      <protection hidden="1"/>
    </xf>
    <xf numFmtId="2" fontId="9" fillId="2" borderId="14" xfId="0" applyNumberFormat="1" applyFont="1" applyFill="1" applyBorder="1" applyAlignment="1" applyProtection="1">
      <alignment/>
      <protection hidden="1"/>
    </xf>
    <xf numFmtId="0" fontId="16" fillId="0" borderId="60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46" fillId="2" borderId="0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36" fillId="2" borderId="0" xfId="0" applyFont="1" applyFill="1" applyAlignment="1" applyProtection="1">
      <alignment horizontal="centerContinuous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35" fillId="2" borderId="4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49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/>
      <protection hidden="1"/>
    </xf>
    <xf numFmtId="0" fontId="9" fillId="2" borderId="30" xfId="0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 horizontal="centerContinuous"/>
      <protection hidden="1"/>
    </xf>
    <xf numFmtId="0" fontId="9" fillId="2" borderId="16" xfId="0" applyFont="1" applyFill="1" applyBorder="1" applyAlignment="1" applyProtection="1">
      <alignment/>
      <protection hidden="1"/>
    </xf>
    <xf numFmtId="0" fontId="9" fillId="2" borderId="51" xfId="0" applyFont="1" applyFill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/>
      <protection hidden="1"/>
    </xf>
    <xf numFmtId="171" fontId="9" fillId="2" borderId="3" xfId="0" applyNumberFormat="1" applyFont="1" applyFill="1" applyBorder="1" applyAlignment="1" applyProtection="1">
      <alignment/>
      <protection hidden="1"/>
    </xf>
    <xf numFmtId="0" fontId="9" fillId="2" borderId="12" xfId="0" applyFont="1" applyFill="1" applyBorder="1" applyAlignment="1" applyProtection="1">
      <alignment/>
      <protection hidden="1"/>
    </xf>
    <xf numFmtId="171" fontId="9" fillId="2" borderId="9" xfId="0" applyNumberFormat="1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centerContinuous"/>
      <protection hidden="1"/>
    </xf>
    <xf numFmtId="170" fontId="9" fillId="2" borderId="3" xfId="0" applyNumberFormat="1" applyFont="1" applyFill="1" applyBorder="1" applyAlignment="1" applyProtection="1">
      <alignment/>
      <protection hidden="1"/>
    </xf>
    <xf numFmtId="170" fontId="9" fillId="2" borderId="18" xfId="0" applyNumberFormat="1" applyFont="1" applyFill="1" applyBorder="1" applyAlignment="1" applyProtection="1">
      <alignment/>
      <protection hidden="1"/>
    </xf>
    <xf numFmtId="171" fontId="9" fillId="2" borderId="0" xfId="0" applyNumberFormat="1" applyFont="1" applyFill="1" applyAlignment="1" applyProtection="1">
      <alignment/>
      <protection hidden="1"/>
    </xf>
    <xf numFmtId="171" fontId="9" fillId="2" borderId="0" xfId="0" applyNumberFormat="1" applyFont="1" applyFill="1" applyBorder="1" applyAlignment="1" applyProtection="1">
      <alignment/>
      <protection hidden="1"/>
    </xf>
    <xf numFmtId="171" fontId="9" fillId="2" borderId="0" xfId="0" applyNumberFormat="1" applyFont="1" applyFill="1" applyAlignment="1" applyProtection="1">
      <alignment horizontal="centerContinuous"/>
      <protection hidden="1"/>
    </xf>
    <xf numFmtId="169" fontId="9" fillId="2" borderId="0" xfId="25" applyNumberFormat="1" applyFont="1" applyFill="1" applyBorder="1" applyAlignment="1" applyProtection="1">
      <alignment horizontal="centerContinuous"/>
      <protection hidden="1"/>
    </xf>
    <xf numFmtId="0" fontId="9" fillId="2" borderId="60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Continuous" vertical="center"/>
      <protection hidden="1"/>
    </xf>
    <xf numFmtId="0" fontId="32" fillId="2" borderId="43" xfId="0" applyFont="1" applyFill="1" applyBorder="1" applyAlignment="1" applyProtection="1">
      <alignment horizontal="centerContinuous" vertical="center"/>
      <protection hidden="1"/>
    </xf>
    <xf numFmtId="0" fontId="9" fillId="2" borderId="61" xfId="0" applyFont="1" applyFill="1" applyBorder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centerContinuous" vertical="center"/>
      <protection hidden="1"/>
    </xf>
    <xf numFmtId="0" fontId="32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6" xfId="0" applyFont="1" applyFill="1" applyBorder="1" applyAlignment="1" applyProtection="1">
      <alignment horizontal="centerContinuous" vertical="center"/>
      <protection hidden="1"/>
    </xf>
    <xf numFmtId="0" fontId="9" fillId="2" borderId="16" xfId="0" applyFont="1" applyFill="1" applyBorder="1" applyAlignment="1" applyProtection="1">
      <alignment horizontal="centerContinuous" vertical="center"/>
      <protection hidden="1"/>
    </xf>
    <xf numFmtId="0" fontId="7" fillId="2" borderId="41" xfId="0" applyFont="1" applyFill="1" applyBorder="1" applyAlignment="1" applyProtection="1">
      <alignment horizontal="centerContinuous" vertical="center"/>
      <protection hidden="1"/>
    </xf>
    <xf numFmtId="0" fontId="32" fillId="2" borderId="41" xfId="0" applyFont="1" applyFill="1" applyBorder="1" applyAlignment="1" applyProtection="1">
      <alignment horizontal="centerContinuous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/>
      <protection hidden="1"/>
    </xf>
    <xf numFmtId="171" fontId="9" fillId="0" borderId="6" xfId="0" applyNumberFormat="1" applyFont="1" applyBorder="1" applyAlignment="1" applyProtection="1">
      <alignment/>
      <protection hidden="1"/>
    </xf>
    <xf numFmtId="169" fontId="9" fillId="0" borderId="15" xfId="25" applyNumberFormat="1" applyFont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 horizontal="right"/>
      <protection hidden="1"/>
    </xf>
    <xf numFmtId="0" fontId="9" fillId="2" borderId="7" xfId="0" applyFont="1" applyFill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9" fillId="0" borderId="49" xfId="0" applyFont="1" applyBorder="1" applyAlignment="1" applyProtection="1">
      <alignment/>
      <protection hidden="1"/>
    </xf>
    <xf numFmtId="169" fontId="9" fillId="0" borderId="15" xfId="0" applyNumberFormat="1" applyFont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 horizontal="right"/>
      <protection hidden="1"/>
    </xf>
    <xf numFmtId="0" fontId="9" fillId="2" borderId="6" xfId="0" applyFont="1" applyFill="1" applyBorder="1" applyAlignment="1" applyProtection="1">
      <alignment horizontal="centerContinuous"/>
      <protection hidden="1"/>
    </xf>
    <xf numFmtId="0" fontId="9" fillId="2" borderId="27" xfId="0" applyFont="1" applyFill="1" applyBorder="1" applyAlignment="1" applyProtection="1">
      <alignment horizontal="right"/>
      <protection hidden="1"/>
    </xf>
    <xf numFmtId="0" fontId="9" fillId="0" borderId="50" xfId="0" applyFont="1" applyBorder="1" applyAlignment="1" applyProtection="1">
      <alignment horizontal="centerContinuous"/>
      <protection hidden="1"/>
    </xf>
    <xf numFmtId="0" fontId="9" fillId="2" borderId="41" xfId="0" applyFont="1" applyFill="1" applyBorder="1" applyAlignment="1" applyProtection="1">
      <alignment horizontal="centerContinuous"/>
      <protection hidden="1"/>
    </xf>
    <xf numFmtId="171" fontId="9" fillId="0" borderId="50" xfId="0" applyNumberFormat="1" applyFont="1" applyBorder="1" applyAlignment="1" applyProtection="1">
      <alignment/>
      <protection hidden="1"/>
    </xf>
    <xf numFmtId="169" fontId="9" fillId="0" borderId="42" xfId="0" applyNumberFormat="1" applyFont="1" applyBorder="1" applyAlignment="1" applyProtection="1">
      <alignment/>
      <protection hidden="1"/>
    </xf>
    <xf numFmtId="170" fontId="9" fillId="0" borderId="6" xfId="0" applyNumberFormat="1" applyFont="1" applyBorder="1" applyAlignment="1" applyProtection="1">
      <alignment/>
      <protection hidden="1"/>
    </xf>
    <xf numFmtId="0" fontId="41" fillId="2" borderId="6" xfId="0" applyFont="1" applyFill="1" applyBorder="1" applyAlignment="1" applyProtection="1">
      <alignment/>
      <protection hidden="1"/>
    </xf>
    <xf numFmtId="0" fontId="9" fillId="2" borderId="50" xfId="0" applyFont="1" applyFill="1" applyBorder="1" applyAlignment="1" applyProtection="1">
      <alignment horizontal="centerContinuous"/>
      <protection hidden="1"/>
    </xf>
    <xf numFmtId="170" fontId="9" fillId="0" borderId="50" xfId="0" applyNumberFormat="1" applyFont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 horizontal="centerContinuous"/>
      <protection hidden="1"/>
    </xf>
    <xf numFmtId="0" fontId="9" fillId="2" borderId="32" xfId="0" applyFont="1" applyFill="1" applyBorder="1" applyAlignment="1" applyProtection="1">
      <alignment horizontal="center" vertical="center"/>
      <protection hidden="1"/>
    </xf>
    <xf numFmtId="0" fontId="7" fillId="2" borderId="62" xfId="0" applyFont="1" applyFill="1" applyBorder="1" applyAlignment="1" applyProtection="1">
      <alignment horizontal="centerContinuous" vertical="center"/>
      <protection hidden="1"/>
    </xf>
    <xf numFmtId="0" fontId="9" fillId="2" borderId="63" xfId="0" applyFont="1" applyFill="1" applyBorder="1" applyAlignment="1" applyProtection="1">
      <alignment horizontal="centerContinuous" vertical="center"/>
      <protection hidden="1"/>
    </xf>
    <xf numFmtId="0" fontId="9" fillId="2" borderId="62" xfId="0" applyFont="1" applyFill="1" applyBorder="1" applyAlignment="1" applyProtection="1">
      <alignment horizontal="center" vertical="center"/>
      <protection hidden="1"/>
    </xf>
    <xf numFmtId="0" fontId="9" fillId="2" borderId="35" xfId="0" applyFont="1" applyFill="1" applyBorder="1" applyAlignment="1" applyProtection="1">
      <alignment horizontal="center" vertical="center"/>
      <protection hidden="1"/>
    </xf>
    <xf numFmtId="2" fontId="9" fillId="2" borderId="6" xfId="0" applyNumberFormat="1" applyFont="1" applyFill="1" applyBorder="1" applyAlignment="1" applyProtection="1">
      <alignment horizontal="right"/>
      <protection hidden="1"/>
    </xf>
    <xf numFmtId="0" fontId="9" fillId="2" borderId="9" xfId="0" applyFont="1" applyFill="1" applyBorder="1" applyAlignment="1" applyProtection="1">
      <alignment horizontal="right"/>
      <protection hidden="1"/>
    </xf>
    <xf numFmtId="0" fontId="9" fillId="2" borderId="6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2" borderId="50" xfId="0" applyFont="1" applyFill="1" applyBorder="1" applyAlignment="1" applyProtection="1">
      <alignment horizontal="centerContinuous" vertical="center"/>
      <protection hidden="1"/>
    </xf>
    <xf numFmtId="0" fontId="13" fillId="2" borderId="40" xfId="0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centerContinuous"/>
      <protection hidden="1"/>
    </xf>
    <xf numFmtId="0" fontId="13" fillId="2" borderId="23" xfId="0" applyFont="1" applyFill="1" applyBorder="1" applyAlignment="1" applyProtection="1">
      <alignment horizontal="right"/>
      <protection hidden="1"/>
    </xf>
    <xf numFmtId="0" fontId="13" fillId="2" borderId="30" xfId="0" applyFont="1" applyFill="1" applyBorder="1" applyAlignment="1" applyProtection="1">
      <alignment horizontal="center"/>
      <protection hidden="1"/>
    </xf>
    <xf numFmtId="0" fontId="13" fillId="2" borderId="13" xfId="0" applyFont="1" applyFill="1" applyBorder="1" applyAlignment="1" applyProtection="1">
      <alignment horizontal="centerContinuous"/>
      <protection hidden="1"/>
    </xf>
    <xf numFmtId="0" fontId="9" fillId="2" borderId="22" xfId="0" applyFont="1" applyFill="1" applyBorder="1" applyAlignment="1" applyProtection="1">
      <alignment horizontal="centerContinuous"/>
      <protection hidden="1"/>
    </xf>
    <xf numFmtId="0" fontId="9" fillId="2" borderId="23" xfId="0" applyFont="1" applyFill="1" applyBorder="1" applyAlignment="1" applyProtection="1">
      <alignment horizontal="centerContinuous"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13" fillId="2" borderId="22" xfId="0" applyFont="1" applyFill="1" applyBorder="1" applyAlignment="1" applyProtection="1">
      <alignment horizontal="centerContinuous"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9" fillId="2" borderId="64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32" fillId="2" borderId="48" xfId="0" applyFont="1" applyFill="1" applyBorder="1" applyAlignment="1" applyProtection="1">
      <alignment horizontal="centerContinuous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32" fillId="2" borderId="9" xfId="0" applyFont="1" applyFill="1" applyBorder="1" applyAlignment="1" applyProtection="1">
      <alignment horizontal="centerContinuous"/>
      <protection hidden="1"/>
    </xf>
    <xf numFmtId="1" fontId="13" fillId="2" borderId="3" xfId="0" applyNumberFormat="1" applyFont="1" applyFill="1" applyBorder="1" applyAlignment="1" applyProtection="1">
      <alignment/>
      <protection hidden="1"/>
    </xf>
    <xf numFmtId="0" fontId="9" fillId="2" borderId="40" xfId="0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169" fontId="9" fillId="2" borderId="0" xfId="0" applyNumberFormat="1" applyFont="1" applyFill="1" applyBorder="1" applyAlignment="1" applyProtection="1">
      <alignment/>
      <protection hidden="1"/>
    </xf>
    <xf numFmtId="0" fontId="9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Continuous" vertical="center" wrapText="1"/>
      <protection hidden="1"/>
    </xf>
    <xf numFmtId="0" fontId="9" fillId="2" borderId="63" xfId="0" applyFont="1" applyFill="1" applyBorder="1" applyAlignment="1" applyProtection="1">
      <alignment horizontal="centerContinuous" vertical="center" wrapText="1"/>
      <protection hidden="1"/>
    </xf>
    <xf numFmtId="0" fontId="9" fillId="2" borderId="33" xfId="0" applyFont="1" applyFill="1" applyBorder="1" applyAlignment="1" applyProtection="1">
      <alignment horizontal="centerContinuous" vertical="center" wrapText="1"/>
      <protection hidden="1"/>
    </xf>
    <xf numFmtId="0" fontId="12" fillId="2" borderId="35" xfId="0" applyFont="1" applyFill="1" applyBorder="1" applyAlignment="1" applyProtection="1" quotePrefix="1">
      <alignment horizontal="centerContinuous" vertical="center" wrapText="1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Continuous" vertical="center" wrapText="1"/>
      <protection hidden="1"/>
    </xf>
    <xf numFmtId="0" fontId="9" fillId="2" borderId="22" xfId="0" applyFont="1" applyFill="1" applyBorder="1" applyAlignment="1" applyProtection="1">
      <alignment horizontal="centerContinuous" vertical="center" wrapText="1"/>
      <protection hidden="1"/>
    </xf>
    <xf numFmtId="0" fontId="9" fillId="2" borderId="23" xfId="0" applyFont="1" applyFill="1" applyBorder="1" applyAlignment="1" applyProtection="1">
      <alignment horizontal="centerContinuous" vertical="center" wrapText="1"/>
      <protection hidden="1"/>
    </xf>
    <xf numFmtId="1" fontId="9" fillId="2" borderId="12" xfId="15" applyNumberFormat="1" applyFont="1" applyFill="1" applyBorder="1" applyAlignment="1" applyProtection="1">
      <alignment horizontal="right"/>
      <protection hidden="1"/>
    </xf>
    <xf numFmtId="0" fontId="9" fillId="2" borderId="30" xfId="0" applyFont="1" applyFill="1" applyBorder="1" applyAlignment="1" applyProtection="1">
      <alignment horizontal="right"/>
      <protection hidden="1"/>
    </xf>
    <xf numFmtId="169" fontId="13" fillId="2" borderId="13" xfId="0" applyNumberFormat="1" applyFont="1" applyFill="1" applyBorder="1" applyAlignment="1" applyProtection="1">
      <alignment/>
      <protection hidden="1"/>
    </xf>
    <xf numFmtId="169" fontId="9" fillId="2" borderId="13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9" fillId="2" borderId="45" xfId="0" applyFont="1" applyFill="1" applyBorder="1" applyAlignment="1" applyProtection="1">
      <alignment horizontal="center" vertical="center" wrapText="1"/>
      <protection hidden="1"/>
    </xf>
    <xf numFmtId="0" fontId="13" fillId="2" borderId="36" xfId="0" applyFont="1" applyFill="1" applyBorder="1" applyAlignment="1" applyProtection="1">
      <alignment horizontal="centerContinuous" vertical="center" wrapText="1"/>
      <protection hidden="1"/>
    </xf>
    <xf numFmtId="0" fontId="9" fillId="2" borderId="55" xfId="0" applyFont="1" applyFill="1" applyBorder="1" applyAlignment="1" applyProtection="1">
      <alignment horizontal="centerContinuous" vertical="center" wrapText="1"/>
      <protection hidden="1"/>
    </xf>
    <xf numFmtId="0" fontId="9" fillId="2" borderId="26" xfId="0" applyFont="1" applyFill="1" applyBorder="1" applyAlignment="1" applyProtection="1">
      <alignment horizontal="centerContinuous" vertical="center" wrapText="1"/>
      <protection hidden="1"/>
    </xf>
    <xf numFmtId="1" fontId="9" fillId="2" borderId="44" xfId="15" applyNumberFormat="1" applyFont="1" applyFill="1" applyBorder="1" applyAlignment="1" applyProtection="1">
      <alignment horizontal="right"/>
      <protection hidden="1"/>
    </xf>
    <xf numFmtId="0" fontId="9" fillId="2" borderId="31" xfId="0" applyFont="1" applyFill="1" applyBorder="1" applyAlignment="1" applyProtection="1">
      <alignment horizontal="center"/>
      <protection hidden="1"/>
    </xf>
    <xf numFmtId="169" fontId="9" fillId="2" borderId="46" xfId="0" applyNumberFormat="1" applyFont="1" applyFill="1" applyBorder="1" applyAlignment="1" applyProtection="1">
      <alignment/>
      <protection hidden="1"/>
    </xf>
    <xf numFmtId="0" fontId="9" fillId="2" borderId="59" xfId="0" applyFont="1" applyFill="1" applyBorder="1" applyAlignment="1" applyProtection="1">
      <alignment/>
      <protection hidden="1"/>
    </xf>
    <xf numFmtId="1" fontId="9" fillId="2" borderId="29" xfId="15" applyNumberFormat="1" applyFont="1" applyFill="1" applyBorder="1" applyAlignment="1" applyProtection="1">
      <alignment horizontal="right"/>
      <protection hidden="1"/>
    </xf>
    <xf numFmtId="0" fontId="9" fillId="2" borderId="65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Continuous"/>
      <protection hidden="1"/>
    </xf>
    <xf numFmtId="0" fontId="9" fillId="2" borderId="63" xfId="0" applyFont="1" applyFill="1" applyBorder="1" applyAlignment="1" applyProtection="1">
      <alignment horizontal="centerContinuous"/>
      <protection hidden="1"/>
    </xf>
    <xf numFmtId="0" fontId="9" fillId="2" borderId="33" xfId="0" applyFont="1" applyFill="1" applyBorder="1" applyAlignment="1" applyProtection="1">
      <alignment horizontal="centerContinuous"/>
      <protection hidden="1"/>
    </xf>
    <xf numFmtId="0" fontId="9" fillId="2" borderId="35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 quotePrefix="1">
      <alignment horizontal="right"/>
      <protection hidden="1"/>
    </xf>
    <xf numFmtId="169" fontId="9" fillId="2" borderId="0" xfId="25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169" fontId="9" fillId="2" borderId="0" xfId="0" applyNumberFormat="1" applyFont="1" applyFill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Continuous" vertical="center"/>
      <protection hidden="1"/>
    </xf>
    <xf numFmtId="0" fontId="9" fillId="2" borderId="22" xfId="0" applyFont="1" applyFill="1" applyBorder="1" applyAlignment="1" applyProtection="1">
      <alignment horizontal="centerContinuous" vertical="center"/>
      <protection hidden="1"/>
    </xf>
    <xf numFmtId="0" fontId="9" fillId="2" borderId="23" xfId="0" applyFont="1" applyFill="1" applyBorder="1" applyAlignment="1" applyProtection="1">
      <alignment horizontal="centerContinuous" vertic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15" fontId="9" fillId="2" borderId="9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15" fontId="9" fillId="2" borderId="21" xfId="0" applyNumberFormat="1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15" fontId="9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34" fillId="2" borderId="0" xfId="0" applyFont="1" applyFill="1" applyBorder="1" applyAlignment="1" applyProtection="1">
      <alignment horizontal="right"/>
      <protection hidden="1"/>
    </xf>
    <xf numFmtId="0" fontId="9" fillId="0" borderId="6" xfId="0" applyFont="1" applyBorder="1" applyAlignment="1" applyProtection="1">
      <alignment/>
      <protection hidden="1"/>
    </xf>
    <xf numFmtId="175" fontId="9" fillId="2" borderId="9" xfId="0" applyNumberFormat="1" applyFont="1" applyFill="1" applyBorder="1" applyAlignment="1" applyProtection="1">
      <alignment horizontal="centerContinuous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Continuous" vertical="center" wrapText="1"/>
      <protection hidden="1"/>
    </xf>
    <xf numFmtId="0" fontId="32" fillId="2" borderId="3" xfId="0" applyFont="1" applyFill="1" applyBorder="1" applyAlignment="1" applyProtection="1">
      <alignment horizontal="center" vertical="center" wrapText="1"/>
      <protection hidden="1"/>
    </xf>
    <xf numFmtId="1" fontId="35" fillId="2" borderId="3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Continuous"/>
      <protection hidden="1"/>
    </xf>
    <xf numFmtId="0" fontId="9" fillId="2" borderId="13" xfId="0" applyFont="1" applyFill="1" applyBorder="1" applyAlignment="1" applyProtection="1">
      <alignment horizontal="centerContinuous"/>
      <protection hidden="1"/>
    </xf>
    <xf numFmtId="0" fontId="2" fillId="2" borderId="21" xfId="0" applyFont="1" applyFill="1" applyBorder="1" applyAlignment="1" applyProtection="1">
      <alignment horizontal="centerContinuous"/>
      <protection hidden="1"/>
    </xf>
    <xf numFmtId="0" fontId="13" fillId="2" borderId="21" xfId="0" applyFont="1" applyFill="1" applyBorder="1" applyAlignment="1" applyProtection="1">
      <alignment horizontal="centerContinuous"/>
      <protection hidden="1"/>
    </xf>
    <xf numFmtId="0" fontId="13" fillId="2" borderId="0" xfId="0" applyFont="1" applyFill="1" applyBorder="1" applyAlignment="1" applyProtection="1">
      <alignment horizontal="centerContinuous"/>
      <protection hidden="1"/>
    </xf>
    <xf numFmtId="2" fontId="2" fillId="2" borderId="1" xfId="0" applyNumberFormat="1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32" fillId="2" borderId="9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/>
      <protection hidden="1"/>
    </xf>
    <xf numFmtId="0" fontId="88" fillId="0" borderId="0" xfId="0" applyFont="1" applyBorder="1" applyAlignment="1" applyProtection="1">
      <alignment horizontal="left"/>
      <protection hidden="1"/>
    </xf>
    <xf numFmtId="0" fontId="26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applyProtection="1">
      <alignment horizontal="centerContinuous"/>
      <protection/>
    </xf>
    <xf numFmtId="0" fontId="61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1" fontId="9" fillId="2" borderId="0" xfId="0" applyNumberFormat="1" applyFont="1" applyFill="1" applyAlignment="1" applyProtection="1">
      <alignment/>
      <protection hidden="1"/>
    </xf>
    <xf numFmtId="0" fontId="9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hidden="1"/>
    </xf>
    <xf numFmtId="0" fontId="90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175" fontId="0" fillId="0" borderId="0" xfId="0" applyNumberFormat="1" applyAlignment="1">
      <alignment/>
    </xf>
    <xf numFmtId="175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 hidden="1"/>
    </xf>
    <xf numFmtId="0" fontId="48" fillId="2" borderId="0" xfId="0" applyFont="1" applyFill="1" applyBorder="1" applyAlignment="1" applyProtection="1">
      <alignment horizontal="centerContinuous" vertical="center" wrapText="1"/>
      <protection hidden="1"/>
    </xf>
    <xf numFmtId="0" fontId="36" fillId="0" borderId="0" xfId="0" applyFont="1" applyBorder="1" applyAlignment="1">
      <alignment horizontal="centerContinuous"/>
    </xf>
    <xf numFmtId="0" fontId="36" fillId="0" borderId="11" xfId="0" applyFont="1" applyBorder="1" applyAlignment="1">
      <alignment horizontal="centerContinuous"/>
    </xf>
    <xf numFmtId="0" fontId="36" fillId="2" borderId="0" xfId="0" applyFont="1" applyFill="1" applyAlignment="1" applyProtection="1">
      <alignment/>
      <protection hidden="1"/>
    </xf>
    <xf numFmtId="168" fontId="9" fillId="2" borderId="0" xfId="0" applyNumberFormat="1" applyFont="1" applyFill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168" fontId="9" fillId="0" borderId="3" xfId="0" applyNumberFormat="1" applyFont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2" fillId="2" borderId="13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12" fillId="2" borderId="22" xfId="0" applyFont="1" applyFill="1" applyBorder="1" applyAlignment="1" applyProtection="1">
      <alignment/>
      <protection hidden="1"/>
    </xf>
    <xf numFmtId="0" fontId="3" fillId="2" borderId="22" xfId="0" applyFont="1" applyFill="1" applyBorder="1" applyAlignment="1" applyProtection="1">
      <alignment/>
      <protection hidden="1"/>
    </xf>
    <xf numFmtId="0" fontId="12" fillId="2" borderId="22" xfId="0" applyFont="1" applyFill="1" applyBorder="1" applyAlignment="1" applyProtection="1">
      <alignment/>
      <protection hidden="1"/>
    </xf>
    <xf numFmtId="175" fontId="51" fillId="0" borderId="0" xfId="0" applyNumberFormat="1" applyFont="1" applyAlignment="1" applyProtection="1">
      <alignment horizontal="centerContinuous"/>
      <protection locked="0"/>
    </xf>
    <xf numFmtId="173" fontId="0" fillId="2" borderId="3" xfId="0" applyNumberFormat="1" applyFill="1" applyBorder="1" applyAlignment="1" applyProtection="1">
      <alignment/>
      <protection hidden="1"/>
    </xf>
    <xf numFmtId="0" fontId="9" fillId="0" borderId="6" xfId="0" applyFont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/>
      <protection hidden="1"/>
    </xf>
    <xf numFmtId="0" fontId="13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9" fillId="2" borderId="6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21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10" fontId="9" fillId="2" borderId="6" xfId="25" applyNumberFormat="1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170" fontId="9" fillId="2" borderId="4" xfId="0" applyNumberFormat="1" applyFont="1" applyFill="1" applyBorder="1" applyAlignment="1" applyProtection="1">
      <alignment horizontal="right"/>
      <protection hidden="1"/>
    </xf>
    <xf numFmtId="170" fontId="9" fillId="2" borderId="3" xfId="0" applyNumberFormat="1" applyFont="1" applyFill="1" applyBorder="1" applyAlignment="1" applyProtection="1">
      <alignment horizontal="right"/>
      <protection hidden="1"/>
    </xf>
    <xf numFmtId="0" fontId="9" fillId="2" borderId="46" xfId="0" applyFont="1" applyFill="1" applyBorder="1" applyAlignment="1" applyProtection="1">
      <alignment/>
      <protection hidden="1"/>
    </xf>
    <xf numFmtId="169" fontId="9" fillId="2" borderId="18" xfId="25" applyNumberFormat="1" applyFont="1" applyFill="1" applyBorder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91" fillId="0" borderId="5" xfId="0" applyFont="1" applyBorder="1" applyAlignment="1">
      <alignment horizontal="centerContinuous"/>
    </xf>
    <xf numFmtId="0" fontId="9" fillId="0" borderId="37" xfId="0" applyFont="1" applyBorder="1" applyAlignment="1">
      <alignment horizontal="centerContinuous"/>
    </xf>
    <xf numFmtId="0" fontId="32" fillId="0" borderId="38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32" fillId="9" borderId="0" xfId="0" applyFont="1" applyFill="1" applyBorder="1" applyAlignment="1">
      <alignment horizontal="centerContinuous"/>
    </xf>
    <xf numFmtId="0" fontId="32" fillId="2" borderId="38" xfId="0" applyFont="1" applyFill="1" applyBorder="1" applyAlignment="1">
      <alignment horizontal="centerContinuous"/>
    </xf>
    <xf numFmtId="0" fontId="92" fillId="0" borderId="7" xfId="0" applyFont="1" applyBorder="1" applyAlignment="1">
      <alignment horizontal="centerContinuous"/>
    </xf>
    <xf numFmtId="0" fontId="93" fillId="0" borderId="0" xfId="0" applyFont="1" applyBorder="1" applyAlignment="1">
      <alignment horizontal="centerContinuous"/>
    </xf>
    <xf numFmtId="0" fontId="93" fillId="0" borderId="38" xfId="0" applyFont="1" applyBorder="1" applyAlignment="1">
      <alignment horizontal="centerContinuous"/>
    </xf>
    <xf numFmtId="0" fontId="94" fillId="0" borderId="7" xfId="0" applyFont="1" applyBorder="1" applyAlignment="1">
      <alignment horizontal="centerContinuous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34" fillId="0" borderId="2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178" fontId="32" fillId="0" borderId="38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178" fontId="12" fillId="0" borderId="17" xfId="17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8" fontId="9" fillId="0" borderId="1" xfId="17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 quotePrefix="1">
      <alignment horizontal="center" vertical="center" wrapText="1"/>
    </xf>
    <xf numFmtId="178" fontId="9" fillId="0" borderId="4" xfId="17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/>
    </xf>
    <xf numFmtId="0" fontId="13" fillId="0" borderId="5" xfId="0" applyFont="1" applyBorder="1" applyAlignment="1">
      <alignment horizontal="center"/>
    </xf>
    <xf numFmtId="178" fontId="9" fillId="0" borderId="1" xfId="17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8" fontId="9" fillId="0" borderId="2" xfId="15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8" fontId="9" fillId="0" borderId="4" xfId="15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 vertical="justify"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justify"/>
    </xf>
    <xf numFmtId="0" fontId="32" fillId="0" borderId="4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top"/>
    </xf>
    <xf numFmtId="0" fontId="96" fillId="0" borderId="3" xfId="0" applyFont="1" applyBorder="1" applyAlignment="1">
      <alignment horizontal="center" vertical="center"/>
    </xf>
    <xf numFmtId="178" fontId="9" fillId="0" borderId="4" xfId="15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78" fontId="32" fillId="0" borderId="3" xfId="0" applyNumberFormat="1" applyFont="1" applyBorder="1" applyAlignment="1">
      <alignment horizontal="center" vertical="center"/>
    </xf>
    <xf numFmtId="0" fontId="32" fillId="2" borderId="0" xfId="0" applyFont="1" applyFill="1" applyAlignment="1">
      <alignment/>
    </xf>
    <xf numFmtId="0" fontId="9" fillId="0" borderId="5" xfId="0" applyFont="1" applyBorder="1" applyAlignment="1" applyProtection="1">
      <alignment horizontal="centerContinuous"/>
      <protection/>
    </xf>
    <xf numFmtId="0" fontId="32" fillId="0" borderId="37" xfId="0" applyFont="1" applyBorder="1" applyAlignment="1">
      <alignment horizontal="centerContinuous"/>
    </xf>
    <xf numFmtId="0" fontId="13" fillId="0" borderId="6" xfId="0" applyFont="1" applyBorder="1" applyAlignment="1" applyProtection="1">
      <alignment horizontal="centerContinuous"/>
      <protection/>
    </xf>
    <xf numFmtId="0" fontId="32" fillId="0" borderId="17" xfId="0" applyFont="1" applyBorder="1" applyAlignment="1">
      <alignment horizontal="centerContinuous"/>
    </xf>
    <xf numFmtId="0" fontId="32" fillId="0" borderId="0" xfId="0" applyFont="1" applyBorder="1" applyAlignment="1">
      <alignment/>
    </xf>
    <xf numFmtId="0" fontId="61" fillId="2" borderId="5" xfId="0" applyFont="1" applyFill="1" applyBorder="1" applyAlignment="1">
      <alignment horizontal="centerContinuous"/>
    </xf>
    <xf numFmtId="0" fontId="61" fillId="2" borderId="21" xfId="0" applyFont="1" applyFill="1" applyBorder="1" applyAlignment="1">
      <alignment horizontal="centerContinuous"/>
    </xf>
    <xf numFmtId="0" fontId="61" fillId="2" borderId="37" xfId="0" applyFont="1" applyFill="1" applyBorder="1" applyAlignment="1">
      <alignment horizontal="centerContinuous"/>
    </xf>
    <xf numFmtId="0" fontId="32" fillId="2" borderId="7" xfId="0" applyFont="1" applyFill="1" applyBorder="1" applyAlignment="1">
      <alignment horizontal="centerContinuous"/>
    </xf>
    <xf numFmtId="0" fontId="32" fillId="0" borderId="6" xfId="0" applyFont="1" applyBorder="1" applyAlignment="1">
      <alignment/>
    </xf>
    <xf numFmtId="0" fontId="0" fillId="2" borderId="0" xfId="0" applyFill="1" applyAlignment="1" applyProtection="1">
      <alignment horizontal="center"/>
      <protection hidden="1"/>
    </xf>
    <xf numFmtId="0" fontId="16" fillId="0" borderId="8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16" fillId="0" borderId="27" xfId="0" applyFont="1" applyBorder="1" applyAlignment="1" applyProtection="1">
      <alignment/>
      <protection hidden="1"/>
    </xf>
    <xf numFmtId="168" fontId="10" fillId="0" borderId="4" xfId="15" applyNumberFormat="1" applyFont="1" applyBorder="1" applyAlignment="1" applyProtection="1">
      <alignment/>
      <protection locked="0"/>
    </xf>
    <xf numFmtId="168" fontId="10" fillId="0" borderId="3" xfId="15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0" fontId="58" fillId="0" borderId="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4" fillId="2" borderId="3" xfId="0" applyFont="1" applyFill="1" applyBorder="1" applyAlignment="1" applyProtection="1">
      <alignment/>
      <protection locked="0"/>
    </xf>
    <xf numFmtId="0" fontId="83" fillId="0" borderId="6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/>
      <protection/>
    </xf>
    <xf numFmtId="168" fontId="4" fillId="0" borderId="4" xfId="15" applyNumberFormat="1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/>
      <protection/>
    </xf>
    <xf numFmtId="168" fontId="4" fillId="2" borderId="3" xfId="15" applyNumberFormat="1" applyFont="1" applyFill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65" fillId="0" borderId="6" xfId="0" applyFont="1" applyBorder="1" applyAlignment="1" applyProtection="1">
      <alignment horizontal="center" wrapText="1"/>
      <protection locked="0"/>
    </xf>
    <xf numFmtId="168" fontId="10" fillId="0" borderId="4" xfId="15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"/>
      <protection locked="0"/>
    </xf>
    <xf numFmtId="168" fontId="10" fillId="2" borderId="4" xfId="15" applyNumberFormat="1" applyFont="1" applyFill="1" applyBorder="1" applyAlignment="1" applyProtection="1">
      <alignment/>
      <protection locked="0"/>
    </xf>
    <xf numFmtId="0" fontId="58" fillId="0" borderId="1" xfId="0" applyFont="1" applyBorder="1" applyAlignment="1" applyProtection="1">
      <alignment/>
      <protection locked="0"/>
    </xf>
    <xf numFmtId="168" fontId="4" fillId="2" borderId="4" xfId="15" applyNumberFormat="1" applyFont="1" applyFill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/>
    </xf>
    <xf numFmtId="49" fontId="76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Continuous" vertical="center"/>
      <protection hidden="1"/>
    </xf>
    <xf numFmtId="0" fontId="9" fillId="0" borderId="23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 quotePrefix="1">
      <alignment horizontal="center"/>
      <protection hidden="1"/>
    </xf>
    <xf numFmtId="0" fontId="5" fillId="0" borderId="3" xfId="0" applyFont="1" applyBorder="1" applyAlignment="1" applyProtection="1">
      <alignment/>
      <protection hidden="1"/>
    </xf>
    <xf numFmtId="0" fontId="9" fillId="2" borderId="3" xfId="0" applyFont="1" applyFill="1" applyBorder="1" applyAlignment="1" applyProtection="1" quotePrefix="1">
      <alignment horizontal="center"/>
      <protection hidden="1"/>
    </xf>
    <xf numFmtId="0" fontId="13" fillId="2" borderId="9" xfId="0" applyFont="1" applyFill="1" applyBorder="1" applyAlignment="1" applyProtection="1">
      <alignment horizontal="right"/>
      <protection hidden="1"/>
    </xf>
    <xf numFmtId="10" fontId="5" fillId="0" borderId="0" xfId="25" applyNumberFormat="1" applyFont="1" applyBorder="1" applyAlignment="1" applyProtection="1">
      <alignment vertic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centerContinuous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2" fontId="9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2" fontId="9" fillId="2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9" xfId="0" applyFont="1" applyBorder="1" applyAlignment="1">
      <alignment/>
    </xf>
    <xf numFmtId="0" fontId="9" fillId="2" borderId="9" xfId="0" applyFont="1" applyFill="1" applyBorder="1" applyAlignment="1" applyProtection="1">
      <alignment horizontal="center"/>
      <protection hidden="1"/>
    </xf>
    <xf numFmtId="171" fontId="9" fillId="2" borderId="9" xfId="0" applyNumberFormat="1" applyFont="1" applyFill="1" applyBorder="1" applyAlignment="1" applyProtection="1">
      <alignment horizontal="centerContinuous"/>
      <protection hidden="1"/>
    </xf>
    <xf numFmtId="0" fontId="9" fillId="2" borderId="58" xfId="0" applyFont="1" applyFill="1" applyBorder="1" applyAlignment="1" applyProtection="1">
      <alignment/>
      <protection hidden="1"/>
    </xf>
    <xf numFmtId="0" fontId="9" fillId="2" borderId="59" xfId="0" applyFont="1" applyFill="1" applyBorder="1" applyAlignment="1" applyProtection="1">
      <alignment/>
      <protection hidden="1"/>
    </xf>
    <xf numFmtId="1" fontId="35" fillId="3" borderId="3" xfId="0" applyNumberFormat="1" applyFont="1" applyFill="1" applyBorder="1" applyAlignment="1" applyProtection="1">
      <alignment/>
      <protection hidden="1"/>
    </xf>
    <xf numFmtId="2" fontId="0" fillId="0" borderId="3" xfId="0" applyNumberFormat="1" applyBorder="1" applyAlignment="1">
      <alignment/>
    </xf>
    <xf numFmtId="0" fontId="0" fillId="0" borderId="9" xfId="0" applyBorder="1" applyAlignment="1" applyProtection="1">
      <alignment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8" fillId="2" borderId="0" xfId="0" applyFont="1" applyFill="1" applyBorder="1" applyAlignment="1" applyProtection="1">
      <alignment horizontal="centerContinuous" vertical="center" wrapText="1"/>
      <protection hidden="1"/>
    </xf>
    <xf numFmtId="0" fontId="98" fillId="0" borderId="1" xfId="0" applyFont="1" applyBorder="1" applyAlignment="1" applyProtection="1">
      <alignment horizontal="center"/>
      <protection hidden="1"/>
    </xf>
    <xf numFmtId="0" fontId="97" fillId="0" borderId="2" xfId="0" applyFont="1" applyBorder="1" applyAlignment="1" applyProtection="1">
      <alignment horizontal="center"/>
      <protection hidden="1"/>
    </xf>
    <xf numFmtId="164" fontId="98" fillId="0" borderId="4" xfId="0" applyNumberFormat="1" applyFont="1" applyBorder="1" applyAlignment="1" applyProtection="1">
      <alignment horizontal="center"/>
      <protection hidden="1"/>
    </xf>
    <xf numFmtId="175" fontId="4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175" fontId="10" fillId="0" borderId="0" xfId="0" applyNumberFormat="1" applyFont="1" applyAlignment="1" applyProtection="1">
      <alignment horizontal="left"/>
      <protection locked="0"/>
    </xf>
    <xf numFmtId="175" fontId="10" fillId="0" borderId="0" xfId="0" applyNumberFormat="1" applyFont="1" applyBorder="1" applyAlignment="1" applyProtection="1">
      <alignment horizontal="centerContinuous"/>
      <protection locked="0"/>
    </xf>
    <xf numFmtId="1" fontId="71" fillId="0" borderId="66" xfId="0" applyNumberFormat="1" applyFont="1" applyBorder="1" applyAlignment="1" applyProtection="1">
      <alignment vertical="top" wrapText="1"/>
      <protection/>
    </xf>
    <xf numFmtId="1" fontId="71" fillId="0" borderId="47" xfId="0" applyNumberFormat="1" applyFont="1" applyBorder="1" applyAlignment="1" applyProtection="1">
      <alignment vertical="top" wrapText="1"/>
      <protection/>
    </xf>
    <xf numFmtId="1" fontId="71" fillId="0" borderId="16" xfId="0" applyNumberFormat="1" applyFont="1" applyBorder="1" applyAlignment="1" applyProtection="1">
      <alignment vertical="top" wrapText="1"/>
      <protection/>
    </xf>
    <xf numFmtId="1" fontId="71" fillId="0" borderId="11" xfId="0" applyNumberFormat="1" applyFont="1" applyBorder="1" applyAlignment="1" applyProtection="1">
      <alignment vertical="top" wrapText="1"/>
      <protection/>
    </xf>
    <xf numFmtId="1" fontId="69" fillId="0" borderId="47" xfId="22" applyNumberFormat="1" applyFont="1" applyBorder="1" applyAlignment="1" applyProtection="1">
      <alignment vertical="top" wrapText="1"/>
      <protection/>
    </xf>
    <xf numFmtId="1" fontId="69" fillId="0" borderId="16" xfId="22" applyNumberFormat="1" applyFont="1" applyBorder="1" applyAlignment="1" applyProtection="1">
      <alignment vertical="top" wrapText="1"/>
      <protection/>
    </xf>
    <xf numFmtId="1" fontId="71" fillId="0" borderId="12" xfId="0" applyNumberFormat="1" applyFont="1" applyBorder="1" applyAlignment="1" applyProtection="1">
      <alignment vertical="top" wrapText="1"/>
      <protection/>
    </xf>
    <xf numFmtId="1" fontId="71" fillId="0" borderId="12" xfId="0" applyNumberFormat="1" applyFont="1" applyBorder="1" applyAlignment="1" applyProtection="1">
      <alignment vertical="top"/>
      <protection/>
    </xf>
    <xf numFmtId="1" fontId="69" fillId="0" borderId="29" xfId="22" applyNumberFormat="1" applyFont="1" applyBorder="1" applyAlignment="1" applyProtection="1">
      <alignment vertical="top" wrapText="1"/>
      <protection/>
    </xf>
    <xf numFmtId="0" fontId="68" fillId="0" borderId="0" xfId="0" applyFont="1" applyBorder="1" applyAlignment="1" applyProtection="1">
      <alignment horizontal="left" vertical="top"/>
      <protection locked="0"/>
    </xf>
    <xf numFmtId="0" fontId="76" fillId="0" borderId="0" xfId="0" applyFont="1" applyBorder="1" applyAlignment="1" applyProtection="1">
      <alignment horizontal="left" vertical="top"/>
      <protection locked="0"/>
    </xf>
    <xf numFmtId="0" fontId="76" fillId="0" borderId="0" xfId="0" applyFont="1" applyAlignment="1" applyProtection="1">
      <alignment horizontal="left" vertical="top"/>
      <protection locked="0"/>
    </xf>
    <xf numFmtId="0" fontId="56" fillId="0" borderId="0" xfId="0" applyFont="1" applyAlignment="1" applyProtection="1">
      <alignment horizontal="centerContinuous"/>
      <protection/>
    </xf>
    <xf numFmtId="0" fontId="99" fillId="0" borderId="10" xfId="0" applyFont="1" applyBorder="1" applyAlignment="1" applyProtection="1">
      <alignment horizontal="centerContinuous"/>
      <protection/>
    </xf>
    <xf numFmtId="0" fontId="68" fillId="0" borderId="3" xfId="22" applyFont="1" applyBorder="1" applyAlignment="1" applyProtection="1">
      <alignment horizontal="left" vertical="top" wrapText="1"/>
      <protection locked="0"/>
    </xf>
    <xf numFmtId="0" fontId="69" fillId="0" borderId="3" xfId="22" applyFont="1" applyBorder="1" applyAlignment="1" applyProtection="1">
      <alignment vertical="top"/>
      <protection locked="0"/>
    </xf>
    <xf numFmtId="0" fontId="71" fillId="0" borderId="3" xfId="0" applyFont="1" applyBorder="1" applyAlignment="1" applyProtection="1">
      <alignment vertical="top"/>
      <protection locked="0"/>
    </xf>
    <xf numFmtId="14" fontId="68" fillId="0" borderId="3" xfId="22" applyNumberFormat="1" applyFont="1" applyBorder="1" applyAlignment="1" applyProtection="1">
      <alignment horizontal="left" vertical="top" wrapText="1"/>
      <protection locked="0"/>
    </xf>
    <xf numFmtId="0" fontId="70" fillId="6" borderId="10" xfId="22" applyFont="1" applyFill="1" applyBorder="1" applyAlignment="1" applyProtection="1">
      <alignment horizontal="left" vertical="top" wrapText="1"/>
      <protection/>
    </xf>
    <xf numFmtId="0" fontId="70" fillId="6" borderId="3" xfId="22" applyFont="1" applyFill="1" applyBorder="1" applyAlignment="1" applyProtection="1">
      <alignment horizontal="left" vertical="top" wrapText="1"/>
      <protection/>
    </xf>
    <xf numFmtId="1" fontId="70" fillId="6" borderId="3" xfId="22" applyNumberFormat="1" applyFont="1" applyFill="1" applyBorder="1" applyAlignment="1" applyProtection="1">
      <alignment vertical="top" wrapText="1"/>
      <protection/>
    </xf>
    <xf numFmtId="0" fontId="70" fillId="6" borderId="30" xfId="22" applyFont="1" applyFill="1" applyBorder="1" applyAlignment="1" applyProtection="1">
      <alignment vertical="top" wrapText="1"/>
      <protection/>
    </xf>
    <xf numFmtId="0" fontId="70" fillId="6" borderId="3" xfId="22" applyFont="1" applyFill="1" applyBorder="1" applyAlignment="1" applyProtection="1">
      <alignment vertical="top" wrapText="1"/>
      <protection/>
    </xf>
    <xf numFmtId="0" fontId="70" fillId="6" borderId="31" xfId="22" applyFont="1" applyFill="1" applyBorder="1" applyAlignment="1" applyProtection="1">
      <alignment vertical="top" wrapText="1"/>
      <protection/>
    </xf>
    <xf numFmtId="49" fontId="70" fillId="6" borderId="28" xfId="22" applyNumberFormat="1" applyFont="1" applyFill="1" applyBorder="1" applyAlignment="1" applyProtection="1">
      <alignment vertical="center" wrapText="1"/>
      <protection/>
    </xf>
    <xf numFmtId="0" fontId="76" fillId="0" borderId="0" xfId="24" applyFont="1" applyBorder="1" applyAlignment="1" applyProtection="1">
      <alignment horizontal="centerContinuous" vertical="center" wrapText="1"/>
      <protection/>
    </xf>
    <xf numFmtId="0" fontId="77" fillId="0" borderId="0" xfId="24" applyFont="1" applyBorder="1" applyAlignment="1" applyProtection="1">
      <alignment horizontal="centerContinuous"/>
      <protection/>
    </xf>
    <xf numFmtId="0" fontId="77" fillId="0" borderId="11" xfId="24" applyFont="1" applyBorder="1" applyAlignment="1" applyProtection="1">
      <alignment horizontal="centerContinuous"/>
      <protection/>
    </xf>
    <xf numFmtId="0" fontId="77" fillId="0" borderId="0" xfId="24" applyFont="1" applyAlignment="1" applyProtection="1">
      <alignment horizontal="centerContinuous" wrapText="1"/>
      <protection/>
    </xf>
    <xf numFmtId="0" fontId="77" fillId="0" borderId="0" xfId="24" applyFont="1" applyProtection="1">
      <alignment/>
      <protection/>
    </xf>
    <xf numFmtId="0" fontId="76" fillId="0" borderId="0" xfId="22" applyFont="1" applyBorder="1" applyAlignment="1" applyProtection="1">
      <alignment vertical="top" wrapText="1"/>
      <protection/>
    </xf>
    <xf numFmtId="0" fontId="71" fillId="0" borderId="0" xfId="24" applyFont="1" applyAlignment="1" applyProtection="1">
      <alignment horizontal="left" wrapText="1"/>
      <protection/>
    </xf>
    <xf numFmtId="0" fontId="69" fillId="0" borderId="0" xfId="22" applyFont="1" applyAlignment="1" applyProtection="1">
      <alignment vertical="top"/>
      <protection/>
    </xf>
    <xf numFmtId="0" fontId="69" fillId="0" borderId="0" xfId="22" applyFont="1" applyAlignment="1" applyProtection="1">
      <alignment vertical="top" wrapText="1"/>
      <protection/>
    </xf>
    <xf numFmtId="0" fontId="76" fillId="0" borderId="0" xfId="24" applyFont="1" applyAlignment="1" applyProtection="1">
      <alignment horizontal="right"/>
      <protection/>
    </xf>
    <xf numFmtId="0" fontId="77" fillId="0" borderId="3" xfId="24" applyFont="1" applyBorder="1" applyProtection="1">
      <alignment/>
      <protection/>
    </xf>
    <xf numFmtId="49" fontId="77" fillId="0" borderId="3" xfId="24" applyNumberFormat="1" applyFont="1" applyBorder="1" applyAlignment="1" applyProtection="1">
      <alignment horizontal="center" wrapText="1"/>
      <protection/>
    </xf>
    <xf numFmtId="1" fontId="77" fillId="5" borderId="3" xfId="24" applyNumberFormat="1" applyFont="1" applyFill="1" applyBorder="1" applyProtection="1">
      <alignment/>
      <protection locked="0"/>
    </xf>
    <xf numFmtId="49" fontId="80" fillId="0" borderId="3" xfId="24" applyNumberFormat="1" applyFont="1" applyBorder="1" applyAlignment="1" applyProtection="1">
      <alignment horizontal="center" wrapText="1"/>
      <protection/>
    </xf>
    <xf numFmtId="0" fontId="77" fillId="0" borderId="3" xfId="24" applyFont="1" applyBorder="1" applyAlignment="1" applyProtection="1">
      <alignment horizontal="center" wrapText="1"/>
      <protection/>
    </xf>
    <xf numFmtId="1" fontId="77" fillId="0" borderId="3" xfId="24" applyNumberFormat="1" applyFont="1" applyBorder="1" applyProtection="1">
      <alignment/>
      <protection/>
    </xf>
    <xf numFmtId="0" fontId="80" fillId="0" borderId="3" xfId="24" applyFont="1" applyBorder="1" applyAlignment="1" applyProtection="1">
      <alignment horizontal="center" wrapText="1"/>
      <protection/>
    </xf>
    <xf numFmtId="1" fontId="77" fillId="7" borderId="3" xfId="24" applyNumberFormat="1" applyFont="1" applyFill="1" applyBorder="1" applyProtection="1">
      <alignment/>
      <protection locked="0"/>
    </xf>
    <xf numFmtId="0" fontId="80" fillId="0" borderId="3" xfId="24" applyFont="1" applyBorder="1" applyAlignment="1" applyProtection="1">
      <alignment horizontal="left" vertical="center" wrapText="1"/>
      <protection/>
    </xf>
    <xf numFmtId="0" fontId="77" fillId="0" borderId="3" xfId="24" applyFont="1" applyBorder="1" applyAlignment="1" applyProtection="1">
      <alignment horizontal="centerContinuous" wrapText="1"/>
      <protection/>
    </xf>
    <xf numFmtId="3" fontId="76" fillId="0" borderId="23" xfId="24" applyNumberFormat="1" applyFont="1" applyFill="1" applyBorder="1" applyAlignment="1" applyProtection="1">
      <alignment vertical="center"/>
      <protection/>
    </xf>
    <xf numFmtId="49" fontId="76" fillId="0" borderId="3" xfId="24" applyNumberFormat="1" applyFont="1" applyBorder="1" applyAlignment="1" applyProtection="1">
      <alignment horizontal="centerContinuous" wrapText="1"/>
      <protection/>
    </xf>
    <xf numFmtId="3" fontId="77" fillId="0" borderId="3" xfId="24" applyNumberFormat="1" applyFont="1" applyFill="1" applyBorder="1" applyProtection="1">
      <alignment/>
      <protection/>
    </xf>
    <xf numFmtId="0" fontId="76" fillId="0" borderId="0" xfId="0" applyFont="1" applyBorder="1" applyAlignment="1" applyProtection="1">
      <alignment horizontal="right" vertical="top"/>
      <protection/>
    </xf>
    <xf numFmtId="0" fontId="100" fillId="0" borderId="0" xfId="24" applyFont="1" applyBorder="1" applyAlignment="1">
      <alignment vertical="center" wrapText="1"/>
      <protection/>
    </xf>
    <xf numFmtId="0" fontId="100" fillId="0" borderId="0" xfId="24" applyFont="1" applyBorder="1" applyAlignment="1" applyProtection="1">
      <alignment vertical="center" wrapText="1"/>
      <protection locked="0"/>
    </xf>
    <xf numFmtId="1" fontId="77" fillId="0" borderId="0" xfId="24" applyNumberFormat="1" applyFont="1" applyProtection="1">
      <alignment/>
      <protection locked="0"/>
    </xf>
    <xf numFmtId="0" fontId="77" fillId="0" borderId="0" xfId="24" applyFont="1" applyBorder="1" applyAlignment="1">
      <alignment wrapText="1"/>
      <protection/>
    </xf>
    <xf numFmtId="0" fontId="76" fillId="0" borderId="0" xfId="23" applyFont="1" applyBorder="1" applyAlignment="1" applyProtection="1">
      <alignment horizontal="centerContinuous" vertical="center" wrapText="1"/>
      <protection/>
    </xf>
    <xf numFmtId="0" fontId="76" fillId="0" borderId="0" xfId="23" applyFont="1" applyFill="1" applyBorder="1" applyAlignment="1" applyProtection="1">
      <alignment horizontal="centerContinuous" vertical="center" wrapText="1"/>
      <protection/>
    </xf>
    <xf numFmtId="0" fontId="76" fillId="0" borderId="0" xfId="22" applyFont="1" applyBorder="1" applyAlignment="1" applyProtection="1">
      <alignment horizontal="left" vertical="top"/>
      <protection/>
    </xf>
    <xf numFmtId="0" fontId="69" fillId="0" borderId="0" xfId="22" applyFont="1" applyFill="1" applyAlignment="1" applyProtection="1">
      <alignment vertical="top"/>
      <protection/>
    </xf>
    <xf numFmtId="0" fontId="69" fillId="0" borderId="0" xfId="22" applyFont="1" applyFill="1" applyAlignment="1" applyProtection="1">
      <alignment horizontal="right" vertical="top" wrapText="1"/>
      <protection/>
    </xf>
    <xf numFmtId="0" fontId="76" fillId="0" borderId="0" xfId="22" applyFont="1" applyBorder="1" applyAlignment="1" applyProtection="1">
      <alignment vertical="top"/>
      <protection/>
    </xf>
    <xf numFmtId="180" fontId="76" fillId="0" borderId="0" xfId="22" applyNumberFormat="1" applyFont="1" applyBorder="1" applyAlignment="1" applyProtection="1">
      <alignment horizontal="left" vertical="top"/>
      <protection/>
    </xf>
    <xf numFmtId="0" fontId="76" fillId="0" borderId="0" xfId="22" applyFont="1" applyFill="1" applyBorder="1" applyAlignment="1" applyProtection="1">
      <alignment vertical="top" wrapText="1"/>
      <protection/>
    </xf>
    <xf numFmtId="0" fontId="76" fillId="0" borderId="0" xfId="23" applyFont="1" applyFill="1" applyBorder="1" applyAlignment="1" applyProtection="1">
      <alignment horizontal="right" vertical="center" wrapText="1"/>
      <protection/>
    </xf>
    <xf numFmtId="0" fontId="36" fillId="0" borderId="61" xfId="0" applyFont="1" applyBorder="1" applyAlignment="1">
      <alignment horizontal="right"/>
    </xf>
    <xf numFmtId="0" fontId="15" fillId="0" borderId="38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2" fontId="0" fillId="0" borderId="59" xfId="0" applyNumberFormat="1" applyBorder="1" applyAlignment="1" applyProtection="1">
      <alignment horizontal="center"/>
      <protection hidden="1"/>
    </xf>
    <xf numFmtId="10" fontId="0" fillId="0" borderId="59" xfId="25" applyNumberForma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10" fontId="0" fillId="0" borderId="66" xfId="25" applyNumberFormat="1" applyBorder="1" applyAlignment="1" applyProtection="1">
      <alignment horizontal="center"/>
      <protection hidden="1"/>
    </xf>
    <xf numFmtId="2" fontId="0" fillId="0" borderId="46" xfId="0" applyNumberFormat="1" applyBorder="1" applyAlignment="1" applyProtection="1">
      <alignment horizontal="center"/>
      <protection hidden="1"/>
    </xf>
    <xf numFmtId="0" fontId="68" fillId="0" borderId="0" xfId="22" applyFont="1" applyBorder="1" applyAlignment="1" applyProtection="1">
      <alignment horizontal="left" vertical="top" wrapText="1"/>
      <protection locked="0"/>
    </xf>
    <xf numFmtId="0" fontId="69" fillId="0" borderId="0" xfId="22" applyFont="1" applyBorder="1" applyAlignment="1" applyProtection="1">
      <alignment horizontal="left" vertical="top" wrapText="1"/>
      <protection locked="0"/>
    </xf>
    <xf numFmtId="0" fontId="68" fillId="0" borderId="0" xfId="22" applyFont="1" applyBorder="1" applyAlignment="1" applyProtection="1">
      <alignment vertical="top" wrapText="1"/>
      <protection locked="0"/>
    </xf>
    <xf numFmtId="0" fontId="71" fillId="0" borderId="0" xfId="0" applyFont="1" applyAlignment="1">
      <alignment vertical="top"/>
    </xf>
    <xf numFmtId="0" fontId="71" fillId="0" borderId="0" xfId="0" applyFont="1" applyAlignment="1">
      <alignment vertical="top" wrapText="1"/>
    </xf>
    <xf numFmtId="0" fontId="69" fillId="0" borderId="7" xfId="22" applyFont="1" applyBorder="1" applyAlignment="1" applyProtection="1">
      <alignment horizontal="right" vertical="top" wrapText="1"/>
      <protection locked="0"/>
    </xf>
    <xf numFmtId="0" fontId="71" fillId="0" borderId="38" xfId="0" applyFont="1" applyBorder="1" applyAlignment="1">
      <alignment horizontal="right" vertical="top" wrapText="1"/>
    </xf>
    <xf numFmtId="0" fontId="76" fillId="0" borderId="0" xfId="24" applyFont="1" applyBorder="1" applyAlignment="1" applyProtection="1">
      <alignment horizontal="left" wrapText="1"/>
      <protection/>
    </xf>
    <xf numFmtId="0" fontId="76" fillId="0" borderId="0" xfId="0" applyFont="1" applyBorder="1" applyAlignment="1" applyProtection="1">
      <alignment horizontal="left" vertical="top"/>
      <protection locked="0"/>
    </xf>
    <xf numFmtId="1" fontId="77" fillId="0" borderId="0" xfId="24" applyNumberFormat="1" applyFont="1" applyBorder="1" applyAlignment="1" applyProtection="1">
      <alignment horizontal="left"/>
      <protection locked="0"/>
    </xf>
    <xf numFmtId="0" fontId="76" fillId="0" borderId="0" xfId="22" applyFont="1" applyBorder="1" applyAlignment="1" applyProtection="1">
      <alignment horizontal="left" vertical="top" wrapText="1"/>
      <protection/>
    </xf>
    <xf numFmtId="0" fontId="71" fillId="0" borderId="0" xfId="24" applyFont="1" applyAlignment="1" applyProtection="1">
      <alignment horizontal="left" wrapText="1"/>
      <protection/>
    </xf>
    <xf numFmtId="179" fontId="77" fillId="0" borderId="9" xfId="22" applyNumberFormat="1" applyFont="1" applyBorder="1" applyAlignment="1" applyProtection="1">
      <alignment horizontal="left" vertical="top" wrapText="1"/>
      <protection/>
    </xf>
    <xf numFmtId="0" fontId="77" fillId="0" borderId="0" xfId="23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54" xfId="0" applyFont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4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0" fontId="0" fillId="0" borderId="46" xfId="25" applyNumberFormat="1" applyBorder="1" applyAlignment="1" applyProtection="1">
      <alignment horizontal="center"/>
      <protection hidden="1"/>
    </xf>
    <xf numFmtId="10" fontId="0" fillId="0" borderId="67" xfId="25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10" fontId="0" fillId="0" borderId="13" xfId="25" applyNumberFormat="1" applyBorder="1" applyAlignment="1" applyProtection="1">
      <alignment horizontal="center"/>
      <protection hidden="1"/>
    </xf>
    <xf numFmtId="10" fontId="0" fillId="0" borderId="23" xfId="25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48" xfId="0" applyFont="1" applyBorder="1" applyAlignment="1" applyProtection="1">
      <alignment horizontal="center"/>
      <protection hidden="1"/>
    </xf>
    <xf numFmtId="0" fontId="15" fillId="0" borderId="68" xfId="0" applyFont="1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21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68" xfId="0" applyFont="1" applyFill="1" applyBorder="1" applyAlignment="1" applyProtection="1">
      <alignment horizont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hidden="1"/>
    </xf>
    <xf numFmtId="0" fontId="9" fillId="2" borderId="54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5" fontId="10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left"/>
      <protection hidden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Balans" xfId="19"/>
    <cellStyle name="Normal_OPP" xfId="20"/>
    <cellStyle name="Normal_OPR" xfId="21"/>
    <cellStyle name="Normal_Баланс" xfId="22"/>
    <cellStyle name="Normal_Отч.парич.поток" xfId="23"/>
    <cellStyle name="Normal_Отч.прих-разх" xfId="24"/>
    <cellStyle name="Percent" xfId="25"/>
  </cellStyles>
  <dxfs count="2">
    <dxf>
      <font>
        <u val="double"/>
        <strike/>
      </font>
      <border/>
    </dxf>
    <dxf>
      <font>
        <u val="double"/>
        <strike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190500</xdr:colOff>
      <xdr:row>519</xdr:row>
      <xdr:rowOff>9525</xdr:rowOff>
    </xdr:from>
    <xdr:to>
      <xdr:col>40</xdr:col>
      <xdr:colOff>314325</xdr:colOff>
      <xdr:row>525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19050" y="52644675"/>
          <a:ext cx="1209675" cy="1285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45</xdr:col>
      <xdr:colOff>47625</xdr:colOff>
      <xdr:row>519</xdr:row>
      <xdr:rowOff>9525</xdr:rowOff>
    </xdr:from>
    <xdr:to>
      <xdr:col>46</xdr:col>
      <xdr:colOff>542925</xdr:colOff>
      <xdr:row>525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81525" y="52644675"/>
          <a:ext cx="1219200" cy="1285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42</xdr:col>
      <xdr:colOff>647700</xdr:colOff>
      <xdr:row>466</xdr:row>
      <xdr:rowOff>66675</xdr:rowOff>
    </xdr:from>
    <xdr:to>
      <xdr:col>43</xdr:col>
      <xdr:colOff>47625</xdr:colOff>
      <xdr:row>466</xdr:row>
      <xdr:rowOff>200025</xdr:rowOff>
    </xdr:to>
    <xdr:sp>
      <xdr:nvSpPr>
        <xdr:cNvPr id="3" name="Rectangle 37"/>
        <xdr:cNvSpPr>
          <a:spLocks/>
        </xdr:cNvSpPr>
      </xdr:nvSpPr>
      <xdr:spPr>
        <a:xfrm>
          <a:off x="41109900" y="309562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657225</xdr:colOff>
      <xdr:row>466</xdr:row>
      <xdr:rowOff>76200</xdr:rowOff>
    </xdr:from>
    <xdr:to>
      <xdr:col>43</xdr:col>
      <xdr:colOff>47625</xdr:colOff>
      <xdr:row>466</xdr:row>
      <xdr:rowOff>180975</xdr:rowOff>
    </xdr:to>
    <xdr:sp>
      <xdr:nvSpPr>
        <xdr:cNvPr id="4" name="Line 40"/>
        <xdr:cNvSpPr>
          <a:spLocks/>
        </xdr:cNvSpPr>
      </xdr:nvSpPr>
      <xdr:spPr>
        <a:xfrm flipV="1">
          <a:off x="41119425" y="309657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666750</xdr:colOff>
      <xdr:row>466</xdr:row>
      <xdr:rowOff>85725</xdr:rowOff>
    </xdr:from>
    <xdr:to>
      <xdr:col>43</xdr:col>
      <xdr:colOff>66675</xdr:colOff>
      <xdr:row>466</xdr:row>
      <xdr:rowOff>200025</xdr:rowOff>
    </xdr:to>
    <xdr:sp>
      <xdr:nvSpPr>
        <xdr:cNvPr id="5" name="Line 41"/>
        <xdr:cNvSpPr>
          <a:spLocks/>
        </xdr:cNvSpPr>
      </xdr:nvSpPr>
      <xdr:spPr>
        <a:xfrm>
          <a:off x="41128950" y="30975300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131</xdr:col>
      <xdr:colOff>5495925</xdr:colOff>
      <xdr:row>3285</xdr:row>
      <xdr:rowOff>295275</xdr:rowOff>
    </xdr:from>
    <xdr:to>
      <xdr:col>132</xdr:col>
      <xdr:colOff>838200</xdr:colOff>
      <xdr:row>3287</xdr:row>
      <xdr:rowOff>466725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41275" y="698153925"/>
          <a:ext cx="83820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130</xdr:col>
      <xdr:colOff>9525</xdr:colOff>
      <xdr:row>3285</xdr:row>
      <xdr:rowOff>304800</xdr:rowOff>
    </xdr:from>
    <xdr:to>
      <xdr:col>130</xdr:col>
      <xdr:colOff>685800</xdr:colOff>
      <xdr:row>3287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69075" y="698163450"/>
          <a:ext cx="67627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131</xdr:col>
      <xdr:colOff>5495925</xdr:colOff>
      <xdr:row>3272</xdr:row>
      <xdr:rowOff>219075</xdr:rowOff>
    </xdr:from>
    <xdr:to>
      <xdr:col>132</xdr:col>
      <xdr:colOff>876300</xdr:colOff>
      <xdr:row>3277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41275" y="692315100"/>
          <a:ext cx="876300" cy="923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130</xdr:col>
      <xdr:colOff>323850</xdr:colOff>
      <xdr:row>3272</xdr:row>
      <xdr:rowOff>200025</xdr:rowOff>
    </xdr:from>
    <xdr:to>
      <xdr:col>131</xdr:col>
      <xdr:colOff>381000</xdr:colOff>
      <xdr:row>3276</xdr:row>
      <xdr:rowOff>209550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83400" y="692296050"/>
          <a:ext cx="742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menova\Desktop\GFO%202008\GFO%202008\KF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ВИНЗАВОД АД</v>
          </cell>
          <cell r="H3">
            <v>115040215</v>
          </cell>
        </row>
        <row r="4">
          <cell r="E4" t="str">
            <v>неконсолидиран </v>
          </cell>
          <cell r="H4">
            <v>175</v>
          </cell>
        </row>
        <row r="5">
          <cell r="E5" t="str">
            <v>01.01.2008-31.12.2008 година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="110" zoomScaleNormal="110" workbookViewId="0" topLeftCell="A1">
      <selection activeCell="A1" sqref="A1"/>
    </sheetView>
  </sheetViews>
  <sheetFormatPr defaultColWidth="9.00390625" defaultRowHeight="14.25"/>
  <cols>
    <col min="1" max="1" width="39.00390625" style="410" customWidth="1"/>
    <col min="2" max="2" width="8.50390625" style="410" customWidth="1"/>
    <col min="3" max="3" width="9.50390625" style="410" customWidth="1"/>
    <col min="4" max="4" width="12.375" style="410" customWidth="1"/>
    <col min="5" max="5" width="62.375" style="410" customWidth="1"/>
    <col min="6" max="6" width="8.375" style="410" customWidth="1"/>
    <col min="7" max="7" width="11.00390625" style="410" customWidth="1"/>
    <col min="8" max="8" width="13.125" style="410" customWidth="1"/>
    <col min="9" max="16384" width="8.00390625" style="410" customWidth="1"/>
  </cols>
  <sheetData>
    <row r="1" spans="1:8" ht="15">
      <c r="A1" s="404" t="s">
        <v>445</v>
      </c>
      <c r="B1" s="405"/>
      <c r="C1" s="406"/>
      <c r="D1" s="406"/>
      <c r="E1" s="406"/>
      <c r="F1" s="407"/>
      <c r="G1" s="408"/>
      <c r="H1" s="409"/>
    </row>
    <row r="2" spans="1:8" ht="15">
      <c r="A2" s="411"/>
      <c r="B2" s="411"/>
      <c r="C2" s="412"/>
      <c r="D2" s="412"/>
      <c r="E2" s="412"/>
      <c r="F2" s="407"/>
      <c r="G2" s="408"/>
      <c r="H2" s="409"/>
    </row>
    <row r="3" spans="1:8" ht="15">
      <c r="A3" s="1472" t="s">
        <v>354</v>
      </c>
      <c r="B3" s="1474"/>
      <c r="C3" s="1474"/>
      <c r="D3" s="1474"/>
      <c r="E3" s="1409" t="s">
        <v>485</v>
      </c>
      <c r="F3" s="414" t="s">
        <v>446</v>
      </c>
      <c r="G3" s="409"/>
      <c r="H3" s="1410">
        <v>115040215</v>
      </c>
    </row>
    <row r="4" spans="1:8" ht="15" customHeight="1">
      <c r="A4" s="1472" t="s">
        <v>355</v>
      </c>
      <c r="B4" s="1473"/>
      <c r="C4" s="1473"/>
      <c r="D4" s="1473"/>
      <c r="E4" s="1411" t="s">
        <v>486</v>
      </c>
      <c r="F4" s="1475" t="s">
        <v>356</v>
      </c>
      <c r="G4" s="1476"/>
      <c r="H4" s="1410">
        <v>175</v>
      </c>
    </row>
    <row r="5" spans="1:8" ht="15">
      <c r="A5" s="1472" t="s">
        <v>138</v>
      </c>
      <c r="B5" s="1474"/>
      <c r="C5" s="1474"/>
      <c r="D5" s="1474"/>
      <c r="E5" s="1412" t="s">
        <v>487</v>
      </c>
      <c r="F5" s="407"/>
      <c r="G5" s="408"/>
      <c r="H5" s="416" t="s">
        <v>447</v>
      </c>
    </row>
    <row r="6" spans="1:8" ht="15.75" thickBot="1">
      <c r="A6" s="413"/>
      <c r="B6" s="413"/>
      <c r="C6" s="415"/>
      <c r="D6" s="416"/>
      <c r="E6" s="416"/>
      <c r="F6" s="407"/>
      <c r="G6" s="408"/>
      <c r="H6" s="416"/>
    </row>
    <row r="7" spans="1:8" ht="28.5">
      <c r="A7" s="417" t="s">
        <v>448</v>
      </c>
      <c r="B7" s="418" t="s">
        <v>449</v>
      </c>
      <c r="C7" s="419" t="s">
        <v>450</v>
      </c>
      <c r="D7" s="419" t="s">
        <v>451</v>
      </c>
      <c r="E7" s="420" t="s">
        <v>452</v>
      </c>
      <c r="F7" s="418" t="s">
        <v>449</v>
      </c>
      <c r="G7" s="419" t="s">
        <v>1184</v>
      </c>
      <c r="H7" s="421" t="s">
        <v>1027</v>
      </c>
    </row>
    <row r="8" spans="1:8" ht="14.25">
      <c r="A8" s="422" t="s">
        <v>1405</v>
      </c>
      <c r="B8" s="423" t="s">
        <v>1558</v>
      </c>
      <c r="C8" s="423">
        <v>1</v>
      </c>
      <c r="D8" s="423">
        <v>2</v>
      </c>
      <c r="E8" s="424" t="s">
        <v>1405</v>
      </c>
      <c r="F8" s="423" t="s">
        <v>1558</v>
      </c>
      <c r="G8" s="423">
        <v>1</v>
      </c>
      <c r="H8" s="425">
        <v>2</v>
      </c>
    </row>
    <row r="9" spans="1:8" ht="15">
      <c r="A9" s="1413" t="s">
        <v>453</v>
      </c>
      <c r="B9" s="426"/>
      <c r="C9" s="427"/>
      <c r="D9" s="428"/>
      <c r="E9" s="1414" t="s">
        <v>454</v>
      </c>
      <c r="F9" s="429"/>
      <c r="G9" s="583"/>
      <c r="H9" s="584"/>
    </row>
    <row r="10" spans="1:8" ht="15">
      <c r="A10" s="430" t="s">
        <v>201</v>
      </c>
      <c r="B10" s="431"/>
      <c r="C10" s="427"/>
      <c r="D10" s="428"/>
      <c r="E10" s="432" t="s">
        <v>202</v>
      </c>
      <c r="F10" s="585"/>
      <c r="G10" s="586"/>
      <c r="H10" s="587"/>
    </row>
    <row r="11" spans="1:8" ht="15">
      <c r="A11" s="430" t="s">
        <v>203</v>
      </c>
      <c r="B11" s="433" t="s">
        <v>285</v>
      </c>
      <c r="C11" s="434">
        <v>1480</v>
      </c>
      <c r="D11" s="434">
        <v>1476</v>
      </c>
      <c r="E11" s="432" t="s">
        <v>204</v>
      </c>
      <c r="F11" s="435" t="s">
        <v>1271</v>
      </c>
      <c r="G11" s="436">
        <v>10017</v>
      </c>
      <c r="H11" s="436">
        <v>10017</v>
      </c>
    </row>
    <row r="12" spans="1:8" ht="15">
      <c r="A12" s="430" t="s">
        <v>205</v>
      </c>
      <c r="B12" s="433" t="s">
        <v>286</v>
      </c>
      <c r="C12" s="434">
        <v>2822</v>
      </c>
      <c r="D12" s="434">
        <v>2906</v>
      </c>
      <c r="E12" s="432" t="s">
        <v>206</v>
      </c>
      <c r="F12" s="435" t="s">
        <v>1273</v>
      </c>
      <c r="G12" s="437">
        <v>10017</v>
      </c>
      <c r="H12" s="437">
        <v>10017</v>
      </c>
    </row>
    <row r="13" spans="1:8" ht="15">
      <c r="A13" s="430" t="s">
        <v>207</v>
      </c>
      <c r="B13" s="433" t="s">
        <v>287</v>
      </c>
      <c r="C13" s="434">
        <v>848</v>
      </c>
      <c r="D13" s="434">
        <v>991</v>
      </c>
      <c r="E13" s="432" t="s">
        <v>208</v>
      </c>
      <c r="F13" s="435" t="s">
        <v>1275</v>
      </c>
      <c r="G13" s="437"/>
      <c r="H13" s="437"/>
    </row>
    <row r="14" spans="1:8" ht="15">
      <c r="A14" s="430" t="s">
        <v>209</v>
      </c>
      <c r="B14" s="433" t="s">
        <v>288</v>
      </c>
      <c r="C14" s="434">
        <v>801</v>
      </c>
      <c r="D14" s="434">
        <v>849</v>
      </c>
      <c r="E14" s="438" t="s">
        <v>210</v>
      </c>
      <c r="F14" s="435" t="s">
        <v>1901</v>
      </c>
      <c r="G14" s="439"/>
      <c r="H14" s="439"/>
    </row>
    <row r="15" spans="1:8" ht="15">
      <c r="A15" s="430" t="s">
        <v>211</v>
      </c>
      <c r="B15" s="433" t="s">
        <v>289</v>
      </c>
      <c r="C15" s="434">
        <v>65</v>
      </c>
      <c r="D15" s="434">
        <v>74</v>
      </c>
      <c r="E15" s="438" t="s">
        <v>212</v>
      </c>
      <c r="F15" s="435" t="s">
        <v>1906</v>
      </c>
      <c r="G15" s="439"/>
      <c r="H15" s="439"/>
    </row>
    <row r="16" spans="1:8" ht="15">
      <c r="A16" s="430" t="s">
        <v>213</v>
      </c>
      <c r="B16" s="440" t="s">
        <v>291</v>
      </c>
      <c r="C16" s="434">
        <v>12</v>
      </c>
      <c r="D16" s="434">
        <v>30</v>
      </c>
      <c r="E16" s="438" t="s">
        <v>214</v>
      </c>
      <c r="F16" s="435" t="s">
        <v>1902</v>
      </c>
      <c r="G16" s="439"/>
      <c r="H16" s="439"/>
    </row>
    <row r="17" spans="1:8" ht="25.5">
      <c r="A17" s="430" t="s">
        <v>215</v>
      </c>
      <c r="B17" s="433" t="s">
        <v>293</v>
      </c>
      <c r="C17" s="434">
        <v>1</v>
      </c>
      <c r="D17" s="434">
        <v>1</v>
      </c>
      <c r="E17" s="438" t="s">
        <v>216</v>
      </c>
      <c r="F17" s="441" t="s">
        <v>217</v>
      </c>
      <c r="G17" s="442">
        <f>G11+G14+G15+G16</f>
        <v>10017</v>
      </c>
      <c r="H17" s="442">
        <f>H11+H14+H15+H16</f>
        <v>10017</v>
      </c>
    </row>
    <row r="18" spans="1:8" ht="15">
      <c r="A18" s="430" t="s">
        <v>218</v>
      </c>
      <c r="B18" s="433" t="s">
        <v>292</v>
      </c>
      <c r="C18" s="434"/>
      <c r="D18" s="434"/>
      <c r="E18" s="432" t="s">
        <v>219</v>
      </c>
      <c r="F18" s="443"/>
      <c r="G18" s="588"/>
      <c r="H18" s="1395"/>
    </row>
    <row r="19" spans="1:8" ht="15">
      <c r="A19" s="430" t="s">
        <v>220</v>
      </c>
      <c r="B19" s="444" t="s">
        <v>472</v>
      </c>
      <c r="C19" s="445">
        <f>SUM(C11:C18)</f>
        <v>6029</v>
      </c>
      <c r="D19" s="445">
        <f>SUM(D11:D18)</f>
        <v>6327</v>
      </c>
      <c r="E19" s="432" t="s">
        <v>473</v>
      </c>
      <c r="F19" s="435" t="s">
        <v>1907</v>
      </c>
      <c r="G19" s="436"/>
      <c r="H19" s="436"/>
    </row>
    <row r="20" spans="1:8" ht="15">
      <c r="A20" s="430" t="s">
        <v>474</v>
      </c>
      <c r="B20" s="444" t="s">
        <v>1865</v>
      </c>
      <c r="C20" s="434"/>
      <c r="D20" s="434"/>
      <c r="E20" s="432" t="s">
        <v>475</v>
      </c>
      <c r="F20" s="435" t="s">
        <v>1908</v>
      </c>
      <c r="G20" s="451">
        <v>2867</v>
      </c>
      <c r="H20" s="451">
        <v>2921</v>
      </c>
    </row>
    <row r="21" spans="1:8" ht="15">
      <c r="A21" s="430" t="s">
        <v>476</v>
      </c>
      <c r="B21" s="446" t="s">
        <v>477</v>
      </c>
      <c r="C21" s="434">
        <v>744</v>
      </c>
      <c r="D21" s="434">
        <v>658</v>
      </c>
      <c r="E21" s="447" t="s">
        <v>478</v>
      </c>
      <c r="F21" s="435" t="s">
        <v>1909</v>
      </c>
      <c r="G21" s="448">
        <f>SUM(G22:G24)</f>
        <v>853</v>
      </c>
      <c r="H21" s="448">
        <f>SUM(H22:H24)</f>
        <v>389</v>
      </c>
    </row>
    <row r="22" spans="1:8" ht="15">
      <c r="A22" s="430" t="s">
        <v>479</v>
      </c>
      <c r="B22" s="433"/>
      <c r="C22" s="449"/>
      <c r="D22" s="445"/>
      <c r="E22" s="438" t="s">
        <v>1948</v>
      </c>
      <c r="F22" s="435" t="s">
        <v>1910</v>
      </c>
      <c r="G22" s="436">
        <v>853</v>
      </c>
      <c r="H22" s="436">
        <v>389</v>
      </c>
    </row>
    <row r="23" spans="1:8" ht="15">
      <c r="A23" s="430" t="s">
        <v>1949</v>
      </c>
      <c r="B23" s="433" t="s">
        <v>294</v>
      </c>
      <c r="C23" s="434"/>
      <c r="D23" s="434"/>
      <c r="E23" s="450" t="s">
        <v>1950</v>
      </c>
      <c r="F23" s="435" t="s">
        <v>1911</v>
      </c>
      <c r="G23" s="436"/>
      <c r="H23" s="436"/>
    </row>
    <row r="24" spans="1:8" ht="15">
      <c r="A24" s="430" t="s">
        <v>1951</v>
      </c>
      <c r="B24" s="433" t="s">
        <v>295</v>
      </c>
      <c r="C24" s="434">
        <v>1</v>
      </c>
      <c r="D24" s="434">
        <v>6</v>
      </c>
      <c r="E24" s="432" t="s">
        <v>1952</v>
      </c>
      <c r="F24" s="435" t="s">
        <v>1912</v>
      </c>
      <c r="G24" s="436"/>
      <c r="H24" s="436"/>
    </row>
    <row r="25" spans="1:8" ht="15">
      <c r="A25" s="430" t="s">
        <v>1953</v>
      </c>
      <c r="B25" s="433" t="s">
        <v>296</v>
      </c>
      <c r="C25" s="434"/>
      <c r="D25" s="434"/>
      <c r="E25" s="450" t="s">
        <v>1954</v>
      </c>
      <c r="F25" s="441" t="s">
        <v>1955</v>
      </c>
      <c r="G25" s="442">
        <f>G19+G20+G21</f>
        <v>3720</v>
      </c>
      <c r="H25" s="442">
        <f>H19+H20+H21</f>
        <v>3310</v>
      </c>
    </row>
    <row r="26" spans="1:8" ht="15">
      <c r="A26" s="430" t="s">
        <v>1956</v>
      </c>
      <c r="B26" s="433" t="s">
        <v>297</v>
      </c>
      <c r="C26" s="434"/>
      <c r="D26" s="434"/>
      <c r="E26" s="432" t="s">
        <v>1957</v>
      </c>
      <c r="F26" s="443"/>
      <c r="G26" s="588"/>
      <c r="H26" s="1395"/>
    </row>
    <row r="27" spans="1:8" ht="15">
      <c r="A27" s="430" t="s">
        <v>1958</v>
      </c>
      <c r="B27" s="446" t="s">
        <v>351</v>
      </c>
      <c r="C27" s="445">
        <f>SUM(C23:C26)</f>
        <v>1</v>
      </c>
      <c r="D27" s="445">
        <f>SUM(D23:D26)</f>
        <v>6</v>
      </c>
      <c r="E27" s="450" t="s">
        <v>352</v>
      </c>
      <c r="F27" s="435" t="s">
        <v>1914</v>
      </c>
      <c r="G27" s="442">
        <f>SUM(G28:G30)</f>
        <v>0</v>
      </c>
      <c r="H27" s="442">
        <f>SUM(H28:H30)</f>
        <v>0</v>
      </c>
    </row>
    <row r="28" spans="1:8" ht="15">
      <c r="A28" s="430"/>
      <c r="B28" s="433"/>
      <c r="C28" s="449"/>
      <c r="D28" s="445"/>
      <c r="E28" s="432" t="s">
        <v>353</v>
      </c>
      <c r="F28" s="435" t="s">
        <v>1915</v>
      </c>
      <c r="G28" s="436"/>
      <c r="H28" s="436"/>
    </row>
    <row r="29" spans="1:8" ht="15">
      <c r="A29" s="430" t="s">
        <v>142</v>
      </c>
      <c r="B29" s="433"/>
      <c r="C29" s="449"/>
      <c r="D29" s="445"/>
      <c r="E29" s="447" t="s">
        <v>143</v>
      </c>
      <c r="F29" s="435" t="s">
        <v>1916</v>
      </c>
      <c r="G29" s="439"/>
      <c r="H29" s="439"/>
    </row>
    <row r="30" spans="1:8" ht="15">
      <c r="A30" s="430" t="s">
        <v>144</v>
      </c>
      <c r="B30" s="433" t="s">
        <v>300</v>
      </c>
      <c r="C30" s="434"/>
      <c r="D30" s="434"/>
      <c r="E30" s="432" t="s">
        <v>145</v>
      </c>
      <c r="F30" s="435" t="s">
        <v>1920</v>
      </c>
      <c r="G30" s="451"/>
      <c r="H30" s="451"/>
    </row>
    <row r="31" spans="1:8" ht="15">
      <c r="A31" s="430" t="s">
        <v>146</v>
      </c>
      <c r="B31" s="433" t="s">
        <v>301</v>
      </c>
      <c r="C31" s="452"/>
      <c r="D31" s="452"/>
      <c r="E31" s="450" t="s">
        <v>147</v>
      </c>
      <c r="F31" s="435" t="s">
        <v>148</v>
      </c>
      <c r="G31" s="436">
        <v>103</v>
      </c>
      <c r="H31" s="436">
        <v>425</v>
      </c>
    </row>
    <row r="32" spans="1:8" ht="15">
      <c r="A32" s="430" t="s">
        <v>149</v>
      </c>
      <c r="B32" s="446" t="s">
        <v>150</v>
      </c>
      <c r="C32" s="445">
        <f>C30+C31</f>
        <v>0</v>
      </c>
      <c r="D32" s="445">
        <f>D30+D31</f>
        <v>0</v>
      </c>
      <c r="E32" s="438" t="s">
        <v>151</v>
      </c>
      <c r="F32" s="435" t="s">
        <v>152</v>
      </c>
      <c r="G32" s="439"/>
      <c r="H32" s="439"/>
    </row>
    <row r="33" spans="1:8" ht="15">
      <c r="A33" s="430" t="s">
        <v>153</v>
      </c>
      <c r="B33" s="440"/>
      <c r="C33" s="449"/>
      <c r="D33" s="445"/>
      <c r="E33" s="450" t="s">
        <v>154</v>
      </c>
      <c r="F33" s="441" t="s">
        <v>155</v>
      </c>
      <c r="G33" s="442">
        <f>G27+G31+G32</f>
        <v>103</v>
      </c>
      <c r="H33" s="442">
        <f>H27+H31+H32</f>
        <v>425</v>
      </c>
    </row>
    <row r="34" spans="1:8" ht="15">
      <c r="A34" s="430" t="s">
        <v>156</v>
      </c>
      <c r="B34" s="440" t="s">
        <v>307</v>
      </c>
      <c r="C34" s="445">
        <f>SUM(C35:C38)</f>
        <v>0</v>
      </c>
      <c r="D34" s="445">
        <f>SUM(D35:D38)</f>
        <v>0</v>
      </c>
      <c r="E34" s="432"/>
      <c r="F34" s="453"/>
      <c r="G34" s="589"/>
      <c r="H34" s="1396"/>
    </row>
    <row r="35" spans="1:8" ht="15">
      <c r="A35" s="430" t="s">
        <v>157</v>
      </c>
      <c r="B35" s="433" t="s">
        <v>303</v>
      </c>
      <c r="C35" s="434"/>
      <c r="D35" s="434"/>
      <c r="E35" s="590"/>
      <c r="F35" s="591"/>
      <c r="G35" s="592"/>
      <c r="H35" s="1397"/>
    </row>
    <row r="36" spans="1:8" ht="15">
      <c r="A36" s="430" t="s">
        <v>158</v>
      </c>
      <c r="B36" s="433" t="s">
        <v>304</v>
      </c>
      <c r="C36" s="434"/>
      <c r="D36" s="434"/>
      <c r="E36" s="432" t="s">
        <v>1966</v>
      </c>
      <c r="F36" s="454" t="s">
        <v>1967</v>
      </c>
      <c r="G36" s="442">
        <f>G25+G17+G33</f>
        <v>13840</v>
      </c>
      <c r="H36" s="442">
        <f>H25+H17+H33</f>
        <v>13752</v>
      </c>
    </row>
    <row r="37" spans="1:8" ht="15">
      <c r="A37" s="430" t="s">
        <v>1968</v>
      </c>
      <c r="B37" s="433" t="s">
        <v>305</v>
      </c>
      <c r="C37" s="434"/>
      <c r="D37" s="434"/>
      <c r="E37" s="432"/>
      <c r="F37" s="455"/>
      <c r="G37" s="589"/>
      <c r="H37" s="1396"/>
    </row>
    <row r="38" spans="1:8" ht="15">
      <c r="A38" s="430" t="s">
        <v>1969</v>
      </c>
      <c r="B38" s="433" t="s">
        <v>306</v>
      </c>
      <c r="C38" s="434"/>
      <c r="D38" s="434"/>
      <c r="E38" s="593"/>
      <c r="F38" s="591"/>
      <c r="G38" s="592"/>
      <c r="H38" s="1397"/>
    </row>
    <row r="39" spans="1:8" ht="15">
      <c r="A39" s="430" t="s">
        <v>1970</v>
      </c>
      <c r="B39" s="456" t="s">
        <v>1866</v>
      </c>
      <c r="C39" s="457">
        <f>C40+C41+C43</f>
        <v>0</v>
      </c>
      <c r="D39" s="457">
        <f>D40+D41+D43</f>
        <v>0</v>
      </c>
      <c r="E39" s="1415" t="s">
        <v>1971</v>
      </c>
      <c r="F39" s="454" t="s">
        <v>1972</v>
      </c>
      <c r="G39" s="451"/>
      <c r="H39" s="451"/>
    </row>
    <row r="40" spans="1:8" ht="15">
      <c r="A40" s="430" t="s">
        <v>1973</v>
      </c>
      <c r="B40" s="456" t="s">
        <v>1974</v>
      </c>
      <c r="C40" s="434"/>
      <c r="D40" s="434"/>
      <c r="E40" s="438"/>
      <c r="F40" s="455"/>
      <c r="G40" s="589"/>
      <c r="H40" s="1396"/>
    </row>
    <row r="41" spans="1:8" ht="15">
      <c r="A41" s="430" t="s">
        <v>1975</v>
      </c>
      <c r="B41" s="456" t="s">
        <v>1976</v>
      </c>
      <c r="C41" s="434"/>
      <c r="D41" s="434"/>
      <c r="E41" s="1415" t="s">
        <v>1977</v>
      </c>
      <c r="F41" s="594"/>
      <c r="G41" s="595"/>
      <c r="H41" s="1398"/>
    </row>
    <row r="42" spans="1:8" ht="15">
      <c r="A42" s="430" t="s">
        <v>1978</v>
      </c>
      <c r="B42" s="456" t="s">
        <v>1979</v>
      </c>
      <c r="C42" s="458"/>
      <c r="D42" s="458"/>
      <c r="E42" s="432" t="s">
        <v>1980</v>
      </c>
      <c r="F42" s="591"/>
      <c r="G42" s="592"/>
      <c r="H42" s="1397"/>
    </row>
    <row r="43" spans="1:8" ht="15">
      <c r="A43" s="430" t="s">
        <v>1981</v>
      </c>
      <c r="B43" s="456" t="s">
        <v>1982</v>
      </c>
      <c r="C43" s="434"/>
      <c r="D43" s="434"/>
      <c r="E43" s="438" t="s">
        <v>1983</v>
      </c>
      <c r="F43" s="435" t="s">
        <v>1925</v>
      </c>
      <c r="G43" s="436"/>
      <c r="H43" s="436"/>
    </row>
    <row r="44" spans="1:8" ht="15">
      <c r="A44" s="430" t="s">
        <v>1984</v>
      </c>
      <c r="B44" s="456" t="s">
        <v>1985</v>
      </c>
      <c r="C44" s="434"/>
      <c r="D44" s="434"/>
      <c r="E44" s="459" t="s">
        <v>1986</v>
      </c>
      <c r="F44" s="435" t="s">
        <v>1929</v>
      </c>
      <c r="G44" s="436">
        <v>5556</v>
      </c>
      <c r="H44" s="436">
        <v>3203</v>
      </c>
    </row>
    <row r="45" spans="1:8" ht="15">
      <c r="A45" s="430" t="s">
        <v>1987</v>
      </c>
      <c r="B45" s="444" t="s">
        <v>1988</v>
      </c>
      <c r="C45" s="445">
        <f>C34+C39+C44</f>
        <v>0</v>
      </c>
      <c r="D45" s="445">
        <f>D34+D39+D44</f>
        <v>0</v>
      </c>
      <c r="E45" s="447" t="s">
        <v>1989</v>
      </c>
      <c r="F45" s="435" t="s">
        <v>1990</v>
      </c>
      <c r="G45" s="436"/>
      <c r="H45" s="436"/>
    </row>
    <row r="46" spans="1:8" ht="15">
      <c r="A46" s="430" t="s">
        <v>1991</v>
      </c>
      <c r="B46" s="433"/>
      <c r="C46" s="449"/>
      <c r="D46" s="445"/>
      <c r="E46" s="432" t="s">
        <v>1992</v>
      </c>
      <c r="F46" s="435" t="s">
        <v>1930</v>
      </c>
      <c r="G46" s="436"/>
      <c r="H46" s="436"/>
    </row>
    <row r="47" spans="1:8" ht="15">
      <c r="A47" s="430" t="s">
        <v>1993</v>
      </c>
      <c r="B47" s="433" t="s">
        <v>1867</v>
      </c>
      <c r="C47" s="434">
        <v>961</v>
      </c>
      <c r="D47" s="434"/>
      <c r="E47" s="447" t="s">
        <v>1994</v>
      </c>
      <c r="F47" s="435" t="s">
        <v>1931</v>
      </c>
      <c r="G47" s="436"/>
      <c r="H47" s="436"/>
    </row>
    <row r="48" spans="1:8" ht="15">
      <c r="A48" s="430" t="s">
        <v>1995</v>
      </c>
      <c r="B48" s="440" t="s">
        <v>1868</v>
      </c>
      <c r="C48" s="434">
        <v>945</v>
      </c>
      <c r="D48" s="434"/>
      <c r="E48" s="432" t="s">
        <v>1996</v>
      </c>
      <c r="F48" s="435" t="s">
        <v>1932</v>
      </c>
      <c r="G48" s="436">
        <v>97</v>
      </c>
      <c r="H48" s="436">
        <v>79</v>
      </c>
    </row>
    <row r="49" spans="1:8" ht="15">
      <c r="A49" s="430" t="s">
        <v>481</v>
      </c>
      <c r="B49" s="433" t="s">
        <v>1247</v>
      </c>
      <c r="C49" s="434"/>
      <c r="D49" s="434"/>
      <c r="E49" s="447" t="s">
        <v>220</v>
      </c>
      <c r="F49" s="441" t="s">
        <v>482</v>
      </c>
      <c r="G49" s="442">
        <f>SUM(G43:G48)</f>
        <v>5653</v>
      </c>
      <c r="H49" s="442">
        <f>SUM(H43:H48)</f>
        <v>3282</v>
      </c>
    </row>
    <row r="50" spans="1:8" ht="15">
      <c r="A50" s="430" t="s">
        <v>1956</v>
      </c>
      <c r="B50" s="433" t="s">
        <v>1869</v>
      </c>
      <c r="C50" s="434"/>
      <c r="D50" s="434"/>
      <c r="E50" s="432"/>
      <c r="F50" s="435"/>
      <c r="G50" s="449"/>
      <c r="H50" s="442"/>
    </row>
    <row r="51" spans="1:8" ht="15">
      <c r="A51" s="430" t="s">
        <v>483</v>
      </c>
      <c r="B51" s="444" t="s">
        <v>484</v>
      </c>
      <c r="C51" s="445">
        <f>SUM(C47:C50)</f>
        <v>1906</v>
      </c>
      <c r="D51" s="445">
        <f>SUM(D47:D50)</f>
        <v>0</v>
      </c>
      <c r="E51" s="447" t="s">
        <v>604</v>
      </c>
      <c r="F51" s="441" t="s">
        <v>605</v>
      </c>
      <c r="G51" s="436"/>
      <c r="H51" s="436"/>
    </row>
    <row r="52" spans="1:8" ht="15">
      <c r="A52" s="430" t="s">
        <v>1151</v>
      </c>
      <c r="B52" s="444"/>
      <c r="C52" s="449"/>
      <c r="D52" s="445"/>
      <c r="E52" s="432" t="s">
        <v>606</v>
      </c>
      <c r="F52" s="441" t="s">
        <v>607</v>
      </c>
      <c r="G52" s="436"/>
      <c r="H52" s="436"/>
    </row>
    <row r="53" spans="1:8" ht="15">
      <c r="A53" s="430" t="s">
        <v>608</v>
      </c>
      <c r="B53" s="444" t="s">
        <v>2270</v>
      </c>
      <c r="C53" s="434"/>
      <c r="D53" s="434"/>
      <c r="E53" s="432" t="s">
        <v>2271</v>
      </c>
      <c r="F53" s="441" t="s">
        <v>2272</v>
      </c>
      <c r="G53" s="436">
        <v>192</v>
      </c>
      <c r="H53" s="436">
        <v>196</v>
      </c>
    </row>
    <row r="54" spans="1:8" ht="15">
      <c r="A54" s="430" t="s">
        <v>2273</v>
      </c>
      <c r="B54" s="444" t="s">
        <v>2067</v>
      </c>
      <c r="C54" s="434"/>
      <c r="D54" s="434"/>
      <c r="E54" s="432" t="s">
        <v>2068</v>
      </c>
      <c r="F54" s="441" t="s">
        <v>2069</v>
      </c>
      <c r="G54" s="436"/>
      <c r="H54" s="436"/>
    </row>
    <row r="55" spans="1:8" ht="25.5">
      <c r="A55" s="460" t="s">
        <v>2070</v>
      </c>
      <c r="B55" s="461" t="s">
        <v>2071</v>
      </c>
      <c r="C55" s="445">
        <f>C19+C20+C21+C27+C32+C45+C51+C53+C54</f>
        <v>8680</v>
      </c>
      <c r="D55" s="445">
        <f>D19+D20+D21+D27+D32+D45+D51+D53+D54</f>
        <v>6991</v>
      </c>
      <c r="E55" s="432" t="s">
        <v>2072</v>
      </c>
      <c r="F55" s="454" t="s">
        <v>2073</v>
      </c>
      <c r="G55" s="442">
        <f>G49+G51+G52+G53+G54</f>
        <v>5845</v>
      </c>
      <c r="H55" s="442">
        <f>H49+H51+H52+H53+H54</f>
        <v>3478</v>
      </c>
    </row>
    <row r="56" spans="1:8" ht="15">
      <c r="A56" s="1416" t="s">
        <v>2074</v>
      </c>
      <c r="B56" s="440"/>
      <c r="C56" s="449"/>
      <c r="D56" s="445"/>
      <c r="E56" s="432"/>
      <c r="F56" s="462"/>
      <c r="G56" s="449"/>
      <c r="H56" s="442"/>
    </row>
    <row r="57" spans="1:8" ht="15">
      <c r="A57" s="430" t="s">
        <v>2075</v>
      </c>
      <c r="B57" s="433"/>
      <c r="C57" s="449"/>
      <c r="D57" s="445"/>
      <c r="E57" s="1417" t="s">
        <v>2076</v>
      </c>
      <c r="F57" s="462"/>
      <c r="G57" s="449"/>
      <c r="H57" s="442"/>
    </row>
    <row r="58" spans="1:8" ht="15">
      <c r="A58" s="430" t="s">
        <v>2077</v>
      </c>
      <c r="B58" s="433" t="s">
        <v>1873</v>
      </c>
      <c r="C58" s="434">
        <v>1001</v>
      </c>
      <c r="D58" s="434">
        <v>990</v>
      </c>
      <c r="E58" s="432" t="s">
        <v>1980</v>
      </c>
      <c r="F58" s="463"/>
      <c r="G58" s="449"/>
      <c r="H58" s="442"/>
    </row>
    <row r="59" spans="1:8" ht="15">
      <c r="A59" s="430" t="s">
        <v>2078</v>
      </c>
      <c r="B59" s="433" t="s">
        <v>1874</v>
      </c>
      <c r="C59" s="434">
        <v>6205</v>
      </c>
      <c r="D59" s="434">
        <v>5571</v>
      </c>
      <c r="E59" s="447" t="s">
        <v>2079</v>
      </c>
      <c r="F59" s="435" t="s">
        <v>1937</v>
      </c>
      <c r="G59" s="436"/>
      <c r="H59" s="436"/>
    </row>
    <row r="60" spans="1:8" ht="15">
      <c r="A60" s="430" t="s">
        <v>2080</v>
      </c>
      <c r="B60" s="433" t="s">
        <v>1875</v>
      </c>
      <c r="C60" s="434">
        <v>13</v>
      </c>
      <c r="D60" s="434">
        <v>11</v>
      </c>
      <c r="E60" s="432" t="s">
        <v>2081</v>
      </c>
      <c r="F60" s="435" t="s">
        <v>2082</v>
      </c>
      <c r="G60" s="436"/>
      <c r="H60" s="436"/>
    </row>
    <row r="61" spans="1:8" ht="15">
      <c r="A61" s="430" t="s">
        <v>2083</v>
      </c>
      <c r="B61" s="440" t="s">
        <v>1876</v>
      </c>
      <c r="C61" s="434"/>
      <c r="D61" s="434"/>
      <c r="E61" s="438" t="s">
        <v>2084</v>
      </c>
      <c r="F61" s="463" t="s">
        <v>2085</v>
      </c>
      <c r="G61" s="442">
        <f>SUM(G62:G68)</f>
        <v>711</v>
      </c>
      <c r="H61" s="442">
        <f>SUM(H62:H68)</f>
        <v>949</v>
      </c>
    </row>
    <row r="62" spans="1:8" ht="15">
      <c r="A62" s="430" t="s">
        <v>2086</v>
      </c>
      <c r="B62" s="440" t="s">
        <v>1878</v>
      </c>
      <c r="C62" s="434"/>
      <c r="D62" s="434"/>
      <c r="E62" s="438" t="s">
        <v>2087</v>
      </c>
      <c r="F62" s="435" t="s">
        <v>455</v>
      </c>
      <c r="G62" s="436">
        <v>5</v>
      </c>
      <c r="H62" s="436">
        <v>0</v>
      </c>
    </row>
    <row r="63" spans="1:8" ht="15">
      <c r="A63" s="430" t="s">
        <v>2088</v>
      </c>
      <c r="B63" s="433" t="s">
        <v>1879</v>
      </c>
      <c r="C63" s="434"/>
      <c r="D63" s="434"/>
      <c r="E63" s="432" t="s">
        <v>2089</v>
      </c>
      <c r="F63" s="435" t="s">
        <v>456</v>
      </c>
      <c r="G63" s="436">
        <v>0</v>
      </c>
      <c r="H63" s="436">
        <v>0</v>
      </c>
    </row>
    <row r="64" spans="1:8" ht="15">
      <c r="A64" s="430" t="s">
        <v>220</v>
      </c>
      <c r="B64" s="444" t="s">
        <v>2090</v>
      </c>
      <c r="C64" s="445">
        <f>SUM(C58:C63)</f>
        <v>7219</v>
      </c>
      <c r="D64" s="445">
        <f>SUM(D58:D63)</f>
        <v>6572</v>
      </c>
      <c r="E64" s="432" t="s">
        <v>2091</v>
      </c>
      <c r="F64" s="435" t="s">
        <v>457</v>
      </c>
      <c r="G64" s="436">
        <v>407</v>
      </c>
      <c r="H64" s="436">
        <v>523</v>
      </c>
    </row>
    <row r="65" spans="1:8" ht="15">
      <c r="A65" s="430"/>
      <c r="B65" s="444"/>
      <c r="C65" s="449"/>
      <c r="D65" s="445"/>
      <c r="E65" s="432" t="s">
        <v>2092</v>
      </c>
      <c r="F65" s="435" t="s">
        <v>458</v>
      </c>
      <c r="G65" s="436">
        <v>9</v>
      </c>
      <c r="H65" s="436">
        <v>5</v>
      </c>
    </row>
    <row r="66" spans="1:8" ht="15">
      <c r="A66" s="430" t="s">
        <v>2093</v>
      </c>
      <c r="B66" s="433"/>
      <c r="C66" s="449"/>
      <c r="D66" s="445"/>
      <c r="E66" s="432" t="s">
        <v>2094</v>
      </c>
      <c r="F66" s="435" t="s">
        <v>459</v>
      </c>
      <c r="G66" s="436">
        <v>109</v>
      </c>
      <c r="H66" s="436">
        <v>73</v>
      </c>
    </row>
    <row r="67" spans="1:8" ht="15">
      <c r="A67" s="430" t="s">
        <v>2095</v>
      </c>
      <c r="B67" s="433" t="s">
        <v>1881</v>
      </c>
      <c r="C67" s="434">
        <v>3936</v>
      </c>
      <c r="D67" s="434">
        <v>3542</v>
      </c>
      <c r="E67" s="432" t="s">
        <v>2096</v>
      </c>
      <c r="F67" s="435" t="s">
        <v>460</v>
      </c>
      <c r="G67" s="436">
        <v>35</v>
      </c>
      <c r="H67" s="436">
        <v>25</v>
      </c>
    </row>
    <row r="68" spans="1:8" ht="15">
      <c r="A68" s="430" t="s">
        <v>2097</v>
      </c>
      <c r="B68" s="433" t="s">
        <v>1883</v>
      </c>
      <c r="C68" s="434">
        <v>1169</v>
      </c>
      <c r="D68" s="434">
        <v>1495</v>
      </c>
      <c r="E68" s="432" t="s">
        <v>2098</v>
      </c>
      <c r="F68" s="435" t="s">
        <v>398</v>
      </c>
      <c r="G68" s="436">
        <v>146</v>
      </c>
      <c r="H68" s="436">
        <v>323</v>
      </c>
    </row>
    <row r="69" spans="1:8" ht="15">
      <c r="A69" s="430" t="s">
        <v>2099</v>
      </c>
      <c r="B69" s="433" t="s">
        <v>2100</v>
      </c>
      <c r="C69" s="434">
        <v>134</v>
      </c>
      <c r="D69" s="434">
        <v>290</v>
      </c>
      <c r="E69" s="447" t="s">
        <v>1956</v>
      </c>
      <c r="F69" s="435" t="s">
        <v>2101</v>
      </c>
      <c r="G69" s="436">
        <v>49</v>
      </c>
      <c r="H69" s="436">
        <v>35</v>
      </c>
    </row>
    <row r="70" spans="1:8" ht="15">
      <c r="A70" s="430" t="s">
        <v>2102</v>
      </c>
      <c r="B70" s="433" t="s">
        <v>1884</v>
      </c>
      <c r="C70" s="434">
        <v>0</v>
      </c>
      <c r="D70" s="434">
        <v>0</v>
      </c>
      <c r="E70" s="432" t="s">
        <v>2103</v>
      </c>
      <c r="F70" s="435" t="s">
        <v>399</v>
      </c>
      <c r="G70" s="436"/>
      <c r="H70" s="436"/>
    </row>
    <row r="71" spans="1:8" ht="15">
      <c r="A71" s="430" t="s">
        <v>2104</v>
      </c>
      <c r="B71" s="433" t="s">
        <v>1885</v>
      </c>
      <c r="C71" s="434">
        <v>157</v>
      </c>
      <c r="D71" s="434">
        <v>146</v>
      </c>
      <c r="E71" s="450" t="s">
        <v>216</v>
      </c>
      <c r="F71" s="464" t="s">
        <v>2105</v>
      </c>
      <c r="G71" s="465">
        <f>G59+G60+G61+G69+G70</f>
        <v>760</v>
      </c>
      <c r="H71" s="465">
        <f>H59+H60+H61+H69+H70</f>
        <v>984</v>
      </c>
    </row>
    <row r="72" spans="1:8" ht="15">
      <c r="A72" s="430" t="s">
        <v>2106</v>
      </c>
      <c r="B72" s="433" t="s">
        <v>1886</v>
      </c>
      <c r="C72" s="434">
        <v>33</v>
      </c>
      <c r="D72" s="434">
        <v>18</v>
      </c>
      <c r="E72" s="438"/>
      <c r="F72" s="466"/>
      <c r="G72" s="467"/>
      <c r="H72" s="1399"/>
    </row>
    <row r="73" spans="1:8" ht="15">
      <c r="A73" s="430" t="s">
        <v>2107</v>
      </c>
      <c r="B73" s="433" t="s">
        <v>2108</v>
      </c>
      <c r="C73" s="434"/>
      <c r="D73" s="434"/>
      <c r="E73" s="596"/>
      <c r="F73" s="468"/>
      <c r="G73" s="469"/>
      <c r="H73" s="1400"/>
    </row>
    <row r="74" spans="1:8" ht="15">
      <c r="A74" s="430" t="s">
        <v>2109</v>
      </c>
      <c r="B74" s="433" t="s">
        <v>2110</v>
      </c>
      <c r="C74" s="434">
        <v>12</v>
      </c>
      <c r="D74" s="434">
        <v>3</v>
      </c>
      <c r="E74" s="432" t="s">
        <v>2111</v>
      </c>
      <c r="F74" s="470" t="s">
        <v>2112</v>
      </c>
      <c r="G74" s="436"/>
      <c r="H74" s="436"/>
    </row>
    <row r="75" spans="1:8" ht="15">
      <c r="A75" s="430" t="s">
        <v>1954</v>
      </c>
      <c r="B75" s="444" t="s">
        <v>2113</v>
      </c>
      <c r="C75" s="445">
        <f>SUM(C67:C74)</f>
        <v>5441</v>
      </c>
      <c r="D75" s="445">
        <f>SUM(D67:D74)</f>
        <v>5494</v>
      </c>
      <c r="E75" s="447" t="s">
        <v>606</v>
      </c>
      <c r="F75" s="441" t="s">
        <v>2114</v>
      </c>
      <c r="G75" s="436"/>
      <c r="H75" s="436"/>
    </row>
    <row r="76" spans="1:8" ht="15">
      <c r="A76" s="430"/>
      <c r="B76" s="433"/>
      <c r="C76" s="449"/>
      <c r="D76" s="445"/>
      <c r="E76" s="432" t="s">
        <v>2115</v>
      </c>
      <c r="F76" s="441" t="s">
        <v>2116</v>
      </c>
      <c r="G76" s="436">
        <v>1044</v>
      </c>
      <c r="H76" s="436">
        <v>1103</v>
      </c>
    </row>
    <row r="77" spans="1:8" ht="15">
      <c r="A77" s="430" t="s">
        <v>2117</v>
      </c>
      <c r="B77" s="433"/>
      <c r="C77" s="449"/>
      <c r="D77" s="445"/>
      <c r="E77" s="432"/>
      <c r="F77" s="471"/>
      <c r="G77" s="597"/>
      <c r="H77" s="1401"/>
    </row>
    <row r="78" spans="1:8" ht="15">
      <c r="A78" s="430" t="s">
        <v>2118</v>
      </c>
      <c r="B78" s="433" t="s">
        <v>2119</v>
      </c>
      <c r="C78" s="445">
        <f>SUM(C79:C81)</f>
        <v>0</v>
      </c>
      <c r="D78" s="445">
        <f>SUM(D79:D81)</f>
        <v>0</v>
      </c>
      <c r="E78" s="432"/>
      <c r="F78" s="597"/>
      <c r="G78" s="597"/>
      <c r="H78" s="1401"/>
    </row>
    <row r="79" spans="1:8" ht="15">
      <c r="A79" s="430" t="s">
        <v>2120</v>
      </c>
      <c r="B79" s="433" t="s">
        <v>2121</v>
      </c>
      <c r="C79" s="434"/>
      <c r="D79" s="434"/>
      <c r="E79" s="447" t="s">
        <v>2122</v>
      </c>
      <c r="F79" s="454" t="s">
        <v>2123</v>
      </c>
      <c r="G79" s="472">
        <f>G71+G74+G75+G76</f>
        <v>1804</v>
      </c>
      <c r="H79" s="472">
        <f>H71+H74+H75+H76</f>
        <v>2087</v>
      </c>
    </row>
    <row r="80" spans="1:8" ht="15">
      <c r="A80" s="430" t="s">
        <v>2124</v>
      </c>
      <c r="B80" s="433" t="s">
        <v>2125</v>
      </c>
      <c r="C80" s="434"/>
      <c r="D80" s="434"/>
      <c r="E80" s="432"/>
      <c r="F80" s="598"/>
      <c r="G80" s="599"/>
      <c r="H80" s="1402"/>
    </row>
    <row r="81" spans="1:8" ht="15">
      <c r="A81" s="430" t="s">
        <v>2126</v>
      </c>
      <c r="B81" s="433" t="s">
        <v>2127</v>
      </c>
      <c r="C81" s="434"/>
      <c r="D81" s="434"/>
      <c r="E81" s="596"/>
      <c r="F81" s="599"/>
      <c r="G81" s="599"/>
      <c r="H81" s="1402"/>
    </row>
    <row r="82" spans="1:8" ht="15">
      <c r="A82" s="430" t="s">
        <v>2128</v>
      </c>
      <c r="B82" s="433" t="s">
        <v>1890</v>
      </c>
      <c r="C82" s="434"/>
      <c r="D82" s="434"/>
      <c r="E82" s="593"/>
      <c r="F82" s="599"/>
      <c r="G82" s="599"/>
      <c r="H82" s="1402"/>
    </row>
    <row r="83" spans="1:8" ht="15">
      <c r="A83" s="430" t="s">
        <v>1984</v>
      </c>
      <c r="B83" s="433" t="s">
        <v>1891</v>
      </c>
      <c r="C83" s="434"/>
      <c r="D83" s="434"/>
      <c r="E83" s="596"/>
      <c r="F83" s="599"/>
      <c r="G83" s="599"/>
      <c r="H83" s="1402"/>
    </row>
    <row r="84" spans="1:8" ht="15">
      <c r="A84" s="430" t="s">
        <v>2129</v>
      </c>
      <c r="B84" s="444" t="s">
        <v>2130</v>
      </c>
      <c r="C84" s="445">
        <f>C83+C82+C78</f>
        <v>0</v>
      </c>
      <c r="D84" s="445">
        <f>D83+D82+D78</f>
        <v>0</v>
      </c>
      <c r="E84" s="593"/>
      <c r="F84" s="599"/>
      <c r="G84" s="599"/>
      <c r="H84" s="1402"/>
    </row>
    <row r="85" spans="1:8" ht="15">
      <c r="A85" s="430"/>
      <c r="B85" s="444"/>
      <c r="C85" s="449"/>
      <c r="D85" s="445"/>
      <c r="E85" s="596"/>
      <c r="F85" s="599"/>
      <c r="G85" s="599"/>
      <c r="H85" s="1402"/>
    </row>
    <row r="86" spans="1:8" ht="15">
      <c r="A86" s="430" t="s">
        <v>2131</v>
      </c>
      <c r="B86" s="433"/>
      <c r="C86" s="449"/>
      <c r="D86" s="445"/>
      <c r="E86" s="593"/>
      <c r="F86" s="599"/>
      <c r="G86" s="599"/>
      <c r="H86" s="1402"/>
    </row>
    <row r="87" spans="1:8" ht="15">
      <c r="A87" s="430" t="s">
        <v>2132</v>
      </c>
      <c r="B87" s="433" t="s">
        <v>1893</v>
      </c>
      <c r="C87" s="434">
        <v>93</v>
      </c>
      <c r="D87" s="434">
        <v>38</v>
      </c>
      <c r="E87" s="596"/>
      <c r="F87" s="599"/>
      <c r="G87" s="599"/>
      <c r="H87" s="1402"/>
    </row>
    <row r="88" spans="1:8" ht="15">
      <c r="A88" s="430" t="s">
        <v>619</v>
      </c>
      <c r="B88" s="433" t="s">
        <v>1894</v>
      </c>
      <c r="C88" s="434">
        <v>32</v>
      </c>
      <c r="D88" s="434">
        <v>201</v>
      </c>
      <c r="E88" s="593"/>
      <c r="F88" s="599"/>
      <c r="G88" s="599"/>
      <c r="H88" s="1402"/>
    </row>
    <row r="89" spans="1:8" ht="15">
      <c r="A89" s="430" t="s">
        <v>620</v>
      </c>
      <c r="B89" s="433" t="s">
        <v>1895</v>
      </c>
      <c r="C89" s="434"/>
      <c r="D89" s="434"/>
      <c r="E89" s="593"/>
      <c r="F89" s="599"/>
      <c r="G89" s="599"/>
      <c r="H89" s="1402"/>
    </row>
    <row r="90" spans="1:8" ht="15">
      <c r="A90" s="430" t="s">
        <v>621</v>
      </c>
      <c r="B90" s="433" t="s">
        <v>1896</v>
      </c>
      <c r="C90" s="434"/>
      <c r="D90" s="434"/>
      <c r="E90" s="593"/>
      <c r="F90" s="599"/>
      <c r="G90" s="599"/>
      <c r="H90" s="1402"/>
    </row>
    <row r="91" spans="1:8" ht="15">
      <c r="A91" s="430" t="s">
        <v>622</v>
      </c>
      <c r="B91" s="444" t="s">
        <v>623</v>
      </c>
      <c r="C91" s="445">
        <f>SUM(C87:C90)</f>
        <v>125</v>
      </c>
      <c r="D91" s="445">
        <f>SUM(D87:D90)</f>
        <v>239</v>
      </c>
      <c r="E91" s="593"/>
      <c r="F91" s="599"/>
      <c r="G91" s="599"/>
      <c r="H91" s="1402"/>
    </row>
    <row r="92" spans="1:8" ht="15">
      <c r="A92" s="430" t="s">
        <v>624</v>
      </c>
      <c r="B92" s="444" t="s">
        <v>625</v>
      </c>
      <c r="C92" s="434">
        <v>24</v>
      </c>
      <c r="D92" s="434">
        <v>21</v>
      </c>
      <c r="E92" s="593"/>
      <c r="F92" s="599"/>
      <c r="G92" s="599"/>
      <c r="H92" s="1402"/>
    </row>
    <row r="93" spans="1:8" ht="15">
      <c r="A93" s="430" t="s">
        <v>626</v>
      </c>
      <c r="B93" s="473" t="s">
        <v>627</v>
      </c>
      <c r="C93" s="445">
        <f>C64+C75+C84+C91+C92</f>
        <v>12809</v>
      </c>
      <c r="D93" s="445">
        <f>D64+D75+D84+D91+D92</f>
        <v>12326</v>
      </c>
      <c r="E93" s="596"/>
      <c r="F93" s="599"/>
      <c r="G93" s="599"/>
      <c r="H93" s="1402"/>
    </row>
    <row r="94" spans="1:8" ht="15.75" thickBot="1">
      <c r="A94" s="1418" t="s">
        <v>628</v>
      </c>
      <c r="B94" s="474" t="s">
        <v>629</v>
      </c>
      <c r="C94" s="475">
        <f>C93+C55</f>
        <v>21489</v>
      </c>
      <c r="D94" s="475">
        <f>D93+D55</f>
        <v>19317</v>
      </c>
      <c r="E94" s="1419" t="s">
        <v>630</v>
      </c>
      <c r="F94" s="476" t="s">
        <v>631</v>
      </c>
      <c r="G94" s="1403">
        <f>G36+G39+G55+G79</f>
        <v>21489</v>
      </c>
      <c r="H94" s="1403">
        <f>H36+H39+H55+H79</f>
        <v>19317</v>
      </c>
    </row>
    <row r="95" spans="1:8" ht="15">
      <c r="A95" s="477"/>
      <c r="B95" s="478"/>
      <c r="C95" s="477"/>
      <c r="D95" s="477"/>
      <c r="E95" s="479"/>
      <c r="F95" s="480"/>
      <c r="G95" s="481"/>
      <c r="H95" s="482"/>
    </row>
    <row r="96" spans="1:8" ht="15">
      <c r="A96" s="483" t="s">
        <v>488</v>
      </c>
      <c r="B96" s="484"/>
      <c r="C96" s="413"/>
      <c r="D96" s="413"/>
      <c r="E96" s="485"/>
      <c r="F96" s="407"/>
      <c r="G96" s="408"/>
      <c r="H96" s="409"/>
    </row>
    <row r="97" spans="1:8" ht="15">
      <c r="A97" s="483"/>
      <c r="B97" s="484"/>
      <c r="C97" s="413"/>
      <c r="D97" s="413"/>
      <c r="E97" s="485"/>
      <c r="F97" s="407"/>
      <c r="G97" s="408"/>
      <c r="H97" s="409"/>
    </row>
    <row r="98" spans="1:8" ht="15">
      <c r="A98" s="1404" t="s">
        <v>489</v>
      </c>
      <c r="B98" s="484"/>
      <c r="C98" s="1470" t="s">
        <v>632</v>
      </c>
      <c r="D98" s="1470"/>
      <c r="E98" s="1470"/>
      <c r="F98" s="407"/>
      <c r="G98" s="408"/>
      <c r="H98" s="409"/>
    </row>
    <row r="99" spans="1:8" ht="15">
      <c r="A99" s="486"/>
      <c r="B99" s="486"/>
      <c r="C99" s="1404"/>
      <c r="D99" s="487" t="s">
        <v>490</v>
      </c>
      <c r="E99" s="1404"/>
      <c r="F99" s="407"/>
      <c r="G99" s="408"/>
      <c r="H99" s="409"/>
    </row>
    <row r="100" spans="1:8" ht="15">
      <c r="A100" s="488"/>
      <c r="B100" s="488"/>
      <c r="C100" s="1470" t="s">
        <v>491</v>
      </c>
      <c r="D100" s="1471"/>
      <c r="E100" s="1471"/>
      <c r="F100" s="490"/>
      <c r="G100" s="486"/>
      <c r="H100" s="491"/>
    </row>
    <row r="101" spans="1:8" ht="12.75">
      <c r="A101" s="486"/>
      <c r="B101" s="486"/>
      <c r="C101" s="486"/>
      <c r="D101" s="486" t="s">
        <v>492</v>
      </c>
      <c r="E101" s="486"/>
      <c r="F101" s="490"/>
      <c r="G101" s="486"/>
      <c r="H101" s="491"/>
    </row>
    <row r="102" spans="1:8" ht="12.75">
      <c r="A102" s="488"/>
      <c r="B102" s="488"/>
      <c r="C102" s="488"/>
      <c r="D102" s="488"/>
      <c r="E102" s="489"/>
      <c r="F102" s="490"/>
      <c r="G102" s="486"/>
      <c r="H102" s="491"/>
    </row>
    <row r="103" spans="1:8" ht="12.75">
      <c r="A103" s="486"/>
      <c r="B103" s="486"/>
      <c r="C103" s="486"/>
      <c r="D103" s="486"/>
      <c r="E103" s="486"/>
      <c r="F103" s="490"/>
      <c r="G103" s="486"/>
      <c r="H103" s="491"/>
    </row>
    <row r="104" spans="1:8" ht="12.75">
      <c r="A104" s="486"/>
      <c r="B104" s="486"/>
      <c r="C104" s="486"/>
      <c r="D104" s="486"/>
      <c r="E104" s="492"/>
      <c r="F104" s="490"/>
      <c r="G104" s="486"/>
      <c r="H104" s="491"/>
    </row>
    <row r="105" spans="1:8" ht="12.75">
      <c r="A105" s="486"/>
      <c r="B105" s="486"/>
      <c r="C105" s="486"/>
      <c r="D105" s="486"/>
      <c r="E105" s="486"/>
      <c r="F105" s="490"/>
      <c r="G105" s="486"/>
      <c r="H105" s="491"/>
    </row>
    <row r="106" spans="1:8" ht="12.75">
      <c r="A106" s="486"/>
      <c r="B106" s="486"/>
      <c r="C106" s="486"/>
      <c r="D106" s="486"/>
      <c r="E106" s="486"/>
      <c r="F106" s="490"/>
      <c r="G106" s="486"/>
      <c r="H106" s="491"/>
    </row>
    <row r="107" spans="1:8" ht="12.75">
      <c r="A107" s="486"/>
      <c r="B107" s="486"/>
      <c r="C107" s="486"/>
      <c r="D107" s="486"/>
      <c r="E107" s="486"/>
      <c r="F107" s="490"/>
      <c r="G107" s="486"/>
      <c r="H107" s="491"/>
    </row>
  </sheetData>
  <mergeCells count="6">
    <mergeCell ref="C100:E100"/>
    <mergeCell ref="A4:D4"/>
    <mergeCell ref="A3:D3"/>
    <mergeCell ref="F4:G4"/>
    <mergeCell ref="A5:D5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43:H48 G74:H76 G11:H13 G28:H28 G22:H24 G19:H19 G31:H31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0">
      <selection activeCell="A1" sqref="A1"/>
    </sheetView>
  </sheetViews>
  <sheetFormatPr defaultColWidth="9.00390625" defaultRowHeight="14.25"/>
  <cols>
    <col min="1" max="1" width="43.875" style="493" customWidth="1"/>
    <col min="2" max="2" width="8.00390625" style="493" customWidth="1"/>
    <col min="3" max="3" width="10.125" style="493" customWidth="1"/>
    <col min="4" max="4" width="12.75390625" style="493" customWidth="1"/>
    <col min="5" max="5" width="37.625" style="493" customWidth="1"/>
    <col min="6" max="6" width="8.00390625" style="493" customWidth="1"/>
    <col min="7" max="7" width="9.25390625" style="493" customWidth="1"/>
    <col min="8" max="8" width="11.75390625" style="493" customWidth="1"/>
    <col min="9" max="16384" width="8.00390625" style="493" customWidth="1"/>
  </cols>
  <sheetData>
    <row r="1" spans="1:8" ht="12.75">
      <c r="A1" s="1420" t="s">
        <v>633</v>
      </c>
      <c r="B1" s="1420"/>
      <c r="C1" s="1421"/>
      <c r="D1" s="1422"/>
      <c r="E1" s="1423"/>
      <c r="F1" s="1423"/>
      <c r="G1" s="1424"/>
      <c r="H1" s="1424"/>
    </row>
    <row r="2" spans="1:8" ht="15">
      <c r="A2" s="1425" t="s">
        <v>354</v>
      </c>
      <c r="B2" s="1480" t="str">
        <f>'[1]справка №1-БАЛАНС'!E3</f>
        <v>ВИНЗАВОД АД</v>
      </c>
      <c r="C2" s="1480"/>
      <c r="D2" s="1480"/>
      <c r="E2" s="1480"/>
      <c r="F2" s="1481" t="s">
        <v>446</v>
      </c>
      <c r="G2" s="1481"/>
      <c r="H2" s="1427">
        <f>'[1]справка №1-БАЛАНС'!H3</f>
        <v>115040215</v>
      </c>
    </row>
    <row r="3" spans="1:8" ht="15" customHeight="1">
      <c r="A3" s="1425" t="s">
        <v>139</v>
      </c>
      <c r="B3" s="1480" t="str">
        <f>'[1]справка №1-БАЛАНС'!E4</f>
        <v>неконсолидиран </v>
      </c>
      <c r="C3" s="1480"/>
      <c r="D3" s="1480"/>
      <c r="E3" s="1480"/>
      <c r="F3" s="1426" t="s">
        <v>356</v>
      </c>
      <c r="G3" s="1428"/>
      <c r="H3" s="1428">
        <f>'[1]справка №1-БАЛАНС'!H4</f>
        <v>175</v>
      </c>
    </row>
    <row r="4" spans="1:8" ht="12.75">
      <c r="A4" s="1425" t="s">
        <v>138</v>
      </c>
      <c r="B4" s="1482" t="str">
        <f>'[1]справка №1-БАЛАНС'!E5</f>
        <v>01.01.2008-31.12.2008 година </v>
      </c>
      <c r="C4" s="1482"/>
      <c r="D4" s="1482"/>
      <c r="E4" s="532"/>
      <c r="F4" s="1423"/>
      <c r="G4" s="1424"/>
      <c r="H4" s="1429" t="s">
        <v>634</v>
      </c>
    </row>
    <row r="5" spans="1:8" ht="24">
      <c r="A5" s="495" t="s">
        <v>635</v>
      </c>
      <c r="B5" s="496" t="s">
        <v>449</v>
      </c>
      <c r="C5" s="495" t="s">
        <v>450</v>
      </c>
      <c r="D5" s="497" t="s">
        <v>1027</v>
      </c>
      <c r="E5" s="495" t="s">
        <v>636</v>
      </c>
      <c r="F5" s="496" t="s">
        <v>449</v>
      </c>
      <c r="G5" s="495" t="s">
        <v>450</v>
      </c>
      <c r="H5" s="495" t="s">
        <v>1027</v>
      </c>
    </row>
    <row r="6" spans="1:8" ht="12.75">
      <c r="A6" s="498" t="s">
        <v>1405</v>
      </c>
      <c r="B6" s="498" t="s">
        <v>1558</v>
      </c>
      <c r="C6" s="498">
        <v>1</v>
      </c>
      <c r="D6" s="498">
        <v>2</v>
      </c>
      <c r="E6" s="498" t="s">
        <v>1405</v>
      </c>
      <c r="F6" s="495" t="s">
        <v>1558</v>
      </c>
      <c r="G6" s="495">
        <v>1</v>
      </c>
      <c r="H6" s="495">
        <v>2</v>
      </c>
    </row>
    <row r="7" spans="1:8" ht="12.75">
      <c r="A7" s="499" t="s">
        <v>637</v>
      </c>
      <c r="B7" s="499"/>
      <c r="C7" s="500"/>
      <c r="D7" s="500"/>
      <c r="E7" s="499" t="s">
        <v>638</v>
      </c>
      <c r="F7" s="514"/>
      <c r="G7" s="1430"/>
      <c r="H7" s="1430"/>
    </row>
    <row r="8" spans="1:8" ht="12.75">
      <c r="A8" s="501" t="s">
        <v>639</v>
      </c>
      <c r="B8" s="501"/>
      <c r="C8" s="502"/>
      <c r="D8" s="503"/>
      <c r="E8" s="501" t="s">
        <v>640</v>
      </c>
      <c r="F8" s="514"/>
      <c r="G8" s="1430"/>
      <c r="H8" s="1430"/>
    </row>
    <row r="9" spans="1:8" ht="12.75">
      <c r="A9" s="504" t="s">
        <v>641</v>
      </c>
      <c r="B9" s="505" t="s">
        <v>405</v>
      </c>
      <c r="C9" s="506">
        <v>4859</v>
      </c>
      <c r="D9" s="506">
        <v>4283</v>
      </c>
      <c r="E9" s="504" t="s">
        <v>642</v>
      </c>
      <c r="F9" s="1431" t="s">
        <v>436</v>
      </c>
      <c r="G9" s="1432">
        <v>5835</v>
      </c>
      <c r="H9" s="1432">
        <v>6717</v>
      </c>
    </row>
    <row r="10" spans="1:8" ht="12.75">
      <c r="A10" s="504" t="s">
        <v>643</v>
      </c>
      <c r="B10" s="505" t="s">
        <v>406</v>
      </c>
      <c r="C10" s="506">
        <v>498</v>
      </c>
      <c r="D10" s="506">
        <v>518</v>
      </c>
      <c r="E10" s="504" t="s">
        <v>644</v>
      </c>
      <c r="F10" s="1431" t="s">
        <v>437</v>
      </c>
      <c r="G10" s="1432">
        <v>324</v>
      </c>
      <c r="H10" s="1432">
        <v>275</v>
      </c>
    </row>
    <row r="11" spans="1:8" ht="12.75">
      <c r="A11" s="504" t="s">
        <v>2213</v>
      </c>
      <c r="B11" s="505" t="s">
        <v>407</v>
      </c>
      <c r="C11" s="506">
        <v>442</v>
      </c>
      <c r="D11" s="506">
        <v>462</v>
      </c>
      <c r="E11" s="507" t="s">
        <v>2214</v>
      </c>
      <c r="F11" s="1431" t="s">
        <v>438</v>
      </c>
      <c r="G11" s="1432">
        <v>98</v>
      </c>
      <c r="H11" s="1432">
        <v>216</v>
      </c>
    </row>
    <row r="12" spans="1:8" ht="12.75">
      <c r="A12" s="504" t="s">
        <v>2215</v>
      </c>
      <c r="B12" s="505" t="s">
        <v>408</v>
      </c>
      <c r="C12" s="506">
        <v>881</v>
      </c>
      <c r="D12" s="506">
        <v>776</v>
      </c>
      <c r="E12" s="507" t="s">
        <v>1956</v>
      </c>
      <c r="F12" s="1431" t="s">
        <v>439</v>
      </c>
      <c r="G12" s="1432">
        <v>431</v>
      </c>
      <c r="H12" s="1432">
        <v>300</v>
      </c>
    </row>
    <row r="13" spans="1:8" ht="12.75">
      <c r="A13" s="504" t="s">
        <v>2216</v>
      </c>
      <c r="B13" s="505" t="s">
        <v>409</v>
      </c>
      <c r="C13" s="506">
        <v>192</v>
      </c>
      <c r="D13" s="506">
        <v>183</v>
      </c>
      <c r="E13" s="508" t="s">
        <v>220</v>
      </c>
      <c r="F13" s="1433" t="s">
        <v>440</v>
      </c>
      <c r="G13" s="1430">
        <f>SUM(G9:G12)</f>
        <v>6688</v>
      </c>
      <c r="H13" s="1430">
        <f>SUM(H9:H12)</f>
        <v>7508</v>
      </c>
    </row>
    <row r="14" spans="1:8" ht="12.75">
      <c r="A14" s="504" t="s">
        <v>2217</v>
      </c>
      <c r="B14" s="505" t="s">
        <v>411</v>
      </c>
      <c r="C14" s="506">
        <v>236</v>
      </c>
      <c r="D14" s="506">
        <v>204</v>
      </c>
      <c r="E14" s="507"/>
      <c r="F14" s="1434"/>
      <c r="G14" s="1435"/>
      <c r="H14" s="1435"/>
    </row>
    <row r="15" spans="1:8" ht="24">
      <c r="A15" s="504" t="s">
        <v>2218</v>
      </c>
      <c r="B15" s="505" t="s">
        <v>412</v>
      </c>
      <c r="C15" s="509">
        <v>-835</v>
      </c>
      <c r="D15" s="509">
        <v>429</v>
      </c>
      <c r="E15" s="501" t="s">
        <v>2219</v>
      </c>
      <c r="F15" s="1436" t="s">
        <v>441</v>
      </c>
      <c r="G15" s="1432">
        <v>73</v>
      </c>
      <c r="H15" s="1432">
        <v>323</v>
      </c>
    </row>
    <row r="16" spans="1:8" ht="12.75">
      <c r="A16" s="504" t="s">
        <v>2220</v>
      </c>
      <c r="B16" s="505" t="s">
        <v>413</v>
      </c>
      <c r="C16" s="509">
        <v>106</v>
      </c>
      <c r="D16" s="509">
        <v>237</v>
      </c>
      <c r="E16" s="504" t="s">
        <v>2221</v>
      </c>
      <c r="F16" s="1434" t="s">
        <v>442</v>
      </c>
      <c r="G16" s="1437"/>
      <c r="H16" s="1437"/>
    </row>
    <row r="17" spans="1:8" ht="12.75">
      <c r="A17" s="510" t="s">
        <v>2222</v>
      </c>
      <c r="B17" s="505" t="s">
        <v>414</v>
      </c>
      <c r="C17" s="511"/>
      <c r="D17" s="511"/>
      <c r="E17" s="501"/>
      <c r="F17" s="514"/>
      <c r="G17" s="1435"/>
      <c r="H17" s="1435"/>
    </row>
    <row r="18" spans="1:8" ht="12.75">
      <c r="A18" s="510" t="s">
        <v>2223</v>
      </c>
      <c r="B18" s="505" t="s">
        <v>415</v>
      </c>
      <c r="C18" s="511"/>
      <c r="D18" s="511"/>
      <c r="E18" s="501" t="s">
        <v>2224</v>
      </c>
      <c r="F18" s="514"/>
      <c r="G18" s="1435"/>
      <c r="H18" s="1435"/>
    </row>
    <row r="19" spans="1:8" ht="12.75">
      <c r="A19" s="508" t="s">
        <v>220</v>
      </c>
      <c r="B19" s="512" t="s">
        <v>417</v>
      </c>
      <c r="C19" s="513">
        <f>SUM(C9:C15)+C16</f>
        <v>6379</v>
      </c>
      <c r="D19" s="513">
        <f>SUM(D9:D15)+D16</f>
        <v>7092</v>
      </c>
      <c r="E19" s="514" t="s">
        <v>2225</v>
      </c>
      <c r="F19" s="1434" t="s">
        <v>443</v>
      </c>
      <c r="G19" s="1432">
        <v>184</v>
      </c>
      <c r="H19" s="1432">
        <v>0</v>
      </c>
    </row>
    <row r="20" spans="1:8" ht="12.75">
      <c r="A20" s="501"/>
      <c r="B20" s="505"/>
      <c r="C20" s="515"/>
      <c r="D20" s="515"/>
      <c r="E20" s="510" t="s">
        <v>2239</v>
      </c>
      <c r="F20" s="1434" t="s">
        <v>444</v>
      </c>
      <c r="G20" s="1432"/>
      <c r="H20" s="1432"/>
    </row>
    <row r="21" spans="1:8" ht="24">
      <c r="A21" s="501" t="s">
        <v>2240</v>
      </c>
      <c r="B21" s="516"/>
      <c r="C21" s="515"/>
      <c r="D21" s="515"/>
      <c r="E21" s="504" t="s">
        <v>2241</v>
      </c>
      <c r="F21" s="1434" t="s">
        <v>1686</v>
      </c>
      <c r="G21" s="1432"/>
      <c r="H21" s="1432"/>
    </row>
    <row r="22" spans="1:8" ht="12.75">
      <c r="A22" s="514" t="s">
        <v>2242</v>
      </c>
      <c r="B22" s="516" t="s">
        <v>419</v>
      </c>
      <c r="C22" s="506">
        <v>289</v>
      </c>
      <c r="D22" s="506">
        <v>210</v>
      </c>
      <c r="E22" s="514" t="s">
        <v>2243</v>
      </c>
      <c r="F22" s="1434" t="s">
        <v>1687</v>
      </c>
      <c r="G22" s="1432"/>
      <c r="H22" s="1432"/>
    </row>
    <row r="23" spans="1:8" ht="24">
      <c r="A23" s="504" t="s">
        <v>2244</v>
      </c>
      <c r="B23" s="516" t="s">
        <v>421</v>
      </c>
      <c r="C23" s="506"/>
      <c r="D23" s="506"/>
      <c r="E23" s="504" t="s">
        <v>2245</v>
      </c>
      <c r="F23" s="1434" t="s">
        <v>1688</v>
      </c>
      <c r="G23" s="1432"/>
      <c r="H23" s="1432"/>
    </row>
    <row r="24" spans="1:8" ht="12.75">
      <c r="A24" s="504" t="s">
        <v>595</v>
      </c>
      <c r="B24" s="516" t="s">
        <v>422</v>
      </c>
      <c r="C24" s="506">
        <v>6</v>
      </c>
      <c r="D24" s="506">
        <v>1</v>
      </c>
      <c r="E24" s="508" t="s">
        <v>154</v>
      </c>
      <c r="F24" s="1436" t="s">
        <v>806</v>
      </c>
      <c r="G24" s="1430">
        <f>SUM(G19:G23)</f>
        <v>184</v>
      </c>
      <c r="H24" s="1430">
        <f>SUM(H19:H23)</f>
        <v>0</v>
      </c>
    </row>
    <row r="25" spans="1:8" ht="12.75">
      <c r="A25" s="504" t="s">
        <v>1956</v>
      </c>
      <c r="B25" s="516" t="s">
        <v>423</v>
      </c>
      <c r="C25" s="506">
        <v>133</v>
      </c>
      <c r="D25" s="506">
        <v>71</v>
      </c>
      <c r="E25" s="510"/>
      <c r="F25" s="514"/>
      <c r="G25" s="1435"/>
      <c r="H25" s="1435"/>
    </row>
    <row r="26" spans="1:8" ht="12.75">
      <c r="A26" s="508" t="s">
        <v>1954</v>
      </c>
      <c r="B26" s="517" t="s">
        <v>418</v>
      </c>
      <c r="C26" s="513">
        <f>SUM(C22:C25)</f>
        <v>428</v>
      </c>
      <c r="D26" s="513">
        <f>SUM(D22:D25)</f>
        <v>282</v>
      </c>
      <c r="E26" s="504"/>
      <c r="F26" s="514"/>
      <c r="G26" s="1435"/>
      <c r="H26" s="1435"/>
    </row>
    <row r="27" spans="1:8" ht="12.75">
      <c r="A27" s="508"/>
      <c r="B27" s="517"/>
      <c r="C27" s="515"/>
      <c r="D27" s="515"/>
      <c r="E27" s="504"/>
      <c r="F27" s="514"/>
      <c r="G27" s="1435"/>
      <c r="H27" s="1435"/>
    </row>
    <row r="28" spans="1:8" ht="12.75">
      <c r="A28" s="499" t="s">
        <v>596</v>
      </c>
      <c r="B28" s="496" t="s">
        <v>424</v>
      </c>
      <c r="C28" s="503">
        <f>C26+C19</f>
        <v>6807</v>
      </c>
      <c r="D28" s="503">
        <f>D26+D19</f>
        <v>7374</v>
      </c>
      <c r="E28" s="499" t="s">
        <v>597</v>
      </c>
      <c r="F28" s="1436" t="s">
        <v>807</v>
      </c>
      <c r="G28" s="1430">
        <f>G13+G15+G24</f>
        <v>6945</v>
      </c>
      <c r="H28" s="1430">
        <f>H13+H15+H24</f>
        <v>7831</v>
      </c>
    </row>
    <row r="29" spans="1:8" ht="12.75">
      <c r="A29" s="499"/>
      <c r="B29" s="496"/>
      <c r="C29" s="515"/>
      <c r="D29" s="515"/>
      <c r="E29" s="499"/>
      <c r="F29" s="1434"/>
      <c r="G29" s="1435"/>
      <c r="H29" s="1435"/>
    </row>
    <row r="30" spans="1:8" ht="12.75">
      <c r="A30" s="499" t="s">
        <v>598</v>
      </c>
      <c r="B30" s="496" t="s">
        <v>426</v>
      </c>
      <c r="C30" s="503">
        <f>IF((G28-C28)&gt;0,G28-C28,0)</f>
        <v>138</v>
      </c>
      <c r="D30" s="503">
        <f>IF((H28-D28)&gt;0,H28-D28,0)</f>
        <v>457</v>
      </c>
      <c r="E30" s="499" t="s">
        <v>599</v>
      </c>
      <c r="F30" s="1436" t="s">
        <v>808</v>
      </c>
      <c r="G30" s="531">
        <f>IF((C28-G28)&gt;0,C28-G28,0)</f>
        <v>0</v>
      </c>
      <c r="H30" s="531">
        <f>IF((D28-H28)&gt;0,D28-H28,0)</f>
        <v>0</v>
      </c>
    </row>
    <row r="31" spans="1:8" ht="24">
      <c r="A31" s="1438" t="s">
        <v>2141</v>
      </c>
      <c r="B31" s="517" t="s">
        <v>2142</v>
      </c>
      <c r="C31" s="506"/>
      <c r="D31" s="506"/>
      <c r="E31" s="501" t="s">
        <v>493</v>
      </c>
      <c r="F31" s="1434" t="s">
        <v>2143</v>
      </c>
      <c r="G31" s="1432"/>
      <c r="H31" s="1432"/>
    </row>
    <row r="32" spans="1:8" ht="12.75">
      <c r="A32" s="501" t="s">
        <v>2144</v>
      </c>
      <c r="B32" s="518" t="s">
        <v>427</v>
      </c>
      <c r="C32" s="506"/>
      <c r="D32" s="506"/>
      <c r="E32" s="501" t="s">
        <v>2145</v>
      </c>
      <c r="F32" s="1434" t="s">
        <v>809</v>
      </c>
      <c r="G32" s="1432"/>
      <c r="H32" s="1432"/>
    </row>
    <row r="33" spans="1:8" ht="12.75">
      <c r="A33" s="530" t="s">
        <v>2146</v>
      </c>
      <c r="B33" s="517" t="s">
        <v>428</v>
      </c>
      <c r="C33" s="513">
        <f>C28+C31+C32</f>
        <v>6807</v>
      </c>
      <c r="D33" s="513">
        <f>D28+D31+D32</f>
        <v>7374</v>
      </c>
      <c r="E33" s="499" t="s">
        <v>2147</v>
      </c>
      <c r="F33" s="1436" t="s">
        <v>810</v>
      </c>
      <c r="G33" s="531">
        <f>G32+G31+G28</f>
        <v>6945</v>
      </c>
      <c r="H33" s="531">
        <f>H32+H31+H28</f>
        <v>7831</v>
      </c>
    </row>
    <row r="34" spans="1:8" ht="12.75">
      <c r="A34" s="530" t="s">
        <v>2148</v>
      </c>
      <c r="B34" s="496" t="s">
        <v>429</v>
      </c>
      <c r="C34" s="503">
        <f>IF((G33-C33)&gt;0,G33-C33,0)</f>
        <v>138</v>
      </c>
      <c r="D34" s="503">
        <f>IF((H33-D33)&gt;0,H33-D33,0)</f>
        <v>457</v>
      </c>
      <c r="E34" s="530" t="s">
        <v>2149</v>
      </c>
      <c r="F34" s="1436" t="s">
        <v>811</v>
      </c>
      <c r="G34" s="1430">
        <f>IF((C33-G33)&gt;0,C33-G33,0)</f>
        <v>0</v>
      </c>
      <c r="H34" s="1430">
        <f>IF((D33-H33)&gt;0,D33-H33,0)</f>
        <v>0</v>
      </c>
    </row>
    <row r="35" spans="1:8" ht="12.75">
      <c r="A35" s="501" t="s">
        <v>2150</v>
      </c>
      <c r="B35" s="517" t="s">
        <v>430</v>
      </c>
      <c r="C35" s="513">
        <f>C36+C37+C38</f>
        <v>35</v>
      </c>
      <c r="D35" s="513">
        <f>D36+D37+D38</f>
        <v>32</v>
      </c>
      <c r="E35" s="519"/>
      <c r="F35" s="514"/>
      <c r="G35" s="1435"/>
      <c r="H35" s="1435"/>
    </row>
    <row r="36" spans="1:8" ht="12.75">
      <c r="A36" s="520" t="s">
        <v>2151</v>
      </c>
      <c r="B36" s="516" t="s">
        <v>2152</v>
      </c>
      <c r="C36" s="506">
        <v>43</v>
      </c>
      <c r="D36" s="506">
        <v>42</v>
      </c>
      <c r="E36" s="519"/>
      <c r="F36" s="514"/>
      <c r="G36" s="1435"/>
      <c r="H36" s="1435"/>
    </row>
    <row r="37" spans="1:8" ht="24">
      <c r="A37" s="520" t="s">
        <v>2153</v>
      </c>
      <c r="B37" s="521" t="s">
        <v>2154</v>
      </c>
      <c r="C37" s="522">
        <v>-8</v>
      </c>
      <c r="D37" s="522">
        <v>-10</v>
      </c>
      <c r="E37" s="519"/>
      <c r="F37" s="1439"/>
      <c r="G37" s="1435"/>
      <c r="H37" s="1435"/>
    </row>
    <row r="38" spans="1:8" ht="12.75">
      <c r="A38" s="523" t="s">
        <v>2155</v>
      </c>
      <c r="B38" s="521" t="s">
        <v>432</v>
      </c>
      <c r="C38" s="524"/>
      <c r="D38" s="524"/>
      <c r="E38" s="519"/>
      <c r="F38" s="1439"/>
      <c r="G38" s="1435"/>
      <c r="H38" s="1435"/>
    </row>
    <row r="39" spans="1:8" ht="12.75">
      <c r="A39" s="525" t="s">
        <v>2249</v>
      </c>
      <c r="B39" s="526" t="s">
        <v>433</v>
      </c>
      <c r="C39" s="1440">
        <f>+IF((G33-C33-C35)&gt;0,G33-C33-C35,0)</f>
        <v>103</v>
      </c>
      <c r="D39" s="1440">
        <f>+IF((H33-D33-D35)&gt;0,H33-D33-D35,0)</f>
        <v>425</v>
      </c>
      <c r="E39" s="527" t="s">
        <v>2250</v>
      </c>
      <c r="F39" s="1441" t="s">
        <v>2251</v>
      </c>
      <c r="G39" s="1442">
        <f>IF(G34&gt;0,IF(C35+G34&lt;0,0,C35+G34),IF(C34-C35&lt;0,C35-C34,0))</f>
        <v>0</v>
      </c>
      <c r="H39" s="1442">
        <f>IF(H34&gt;0,IF(D35+H34&lt;0,0,D35+H34),IF(D34-D35&lt;0,D35-D34,0))</f>
        <v>0</v>
      </c>
    </row>
    <row r="40" spans="1:8" ht="12.75">
      <c r="A40" s="499" t="s">
        <v>2252</v>
      </c>
      <c r="B40" s="498" t="s">
        <v>2253</v>
      </c>
      <c r="C40" s="529"/>
      <c r="D40" s="529"/>
      <c r="E40" s="499" t="s">
        <v>2252</v>
      </c>
      <c r="F40" s="1441" t="s">
        <v>2254</v>
      </c>
      <c r="G40" s="1432"/>
      <c r="H40" s="1432"/>
    </row>
    <row r="41" spans="1:8" ht="12.75">
      <c r="A41" s="499" t="s">
        <v>2255</v>
      </c>
      <c r="B41" s="495" t="s">
        <v>434</v>
      </c>
      <c r="C41" s="500">
        <f>IF(G39=0,IF(C39-C40&gt;0,C39-C40+G40,0),IF(G39-G40&lt;0,G40-G39+C39,0))</f>
        <v>103</v>
      </c>
      <c r="D41" s="500">
        <f>IF(H39=0,IF(D39-D40&gt;0,D39-D40+H40,0),IF(H39-H40&lt;0,H40-H39+D39,0))</f>
        <v>425</v>
      </c>
      <c r="E41" s="499" t="s">
        <v>2256</v>
      </c>
      <c r="F41" s="528" t="s">
        <v>2257</v>
      </c>
      <c r="G41" s="500">
        <f>IF(C39=0,IF(G39-G40&gt;0,G39-G40+C40,0),IF(C39-C40&lt;0,C40-C39+G40,0))</f>
        <v>0</v>
      </c>
      <c r="H41" s="500">
        <f>IF(D39=0,IF(H39-H40&gt;0,H39-H40+D40,0),IF(D39-D40&lt;0,D40-D39+H40,0))</f>
        <v>0</v>
      </c>
    </row>
    <row r="42" spans="1:8" ht="12.75">
      <c r="A42" s="530" t="s">
        <v>2258</v>
      </c>
      <c r="B42" s="495" t="s">
        <v>435</v>
      </c>
      <c r="C42" s="531">
        <f>C33+C35+C39</f>
        <v>6945</v>
      </c>
      <c r="D42" s="531">
        <f>D33+D35+D39</f>
        <v>7831</v>
      </c>
      <c r="E42" s="530" t="s">
        <v>2259</v>
      </c>
      <c r="F42" s="526" t="s">
        <v>813</v>
      </c>
      <c r="G42" s="531">
        <f>G39+G33</f>
        <v>6945</v>
      </c>
      <c r="H42" s="531">
        <f>H39+H33</f>
        <v>7831</v>
      </c>
    </row>
    <row r="43" spans="1:8" ht="12.75">
      <c r="A43" s="532"/>
      <c r="B43" s="533"/>
      <c r="C43" s="534"/>
      <c r="D43" s="534"/>
      <c r="E43" s="535"/>
      <c r="F43" s="494"/>
      <c r="G43" s="534"/>
      <c r="H43" s="534"/>
    </row>
    <row r="44" spans="1:8" ht="12.75">
      <c r="A44" s="532"/>
      <c r="B44" s="533"/>
      <c r="C44" s="534"/>
      <c r="D44" s="534"/>
      <c r="E44" s="535"/>
      <c r="F44" s="494"/>
      <c r="G44" s="534"/>
      <c r="H44" s="534"/>
    </row>
    <row r="45" spans="1:8" ht="12.75">
      <c r="A45" s="1477" t="s">
        <v>494</v>
      </c>
      <c r="B45" s="1477"/>
      <c r="C45" s="1477"/>
      <c r="D45" s="1477"/>
      <c r="E45" s="1477"/>
      <c r="F45" s="494"/>
      <c r="G45" s="534"/>
      <c r="H45" s="534"/>
    </row>
    <row r="46" spans="1:8" ht="12.75">
      <c r="A46" s="532"/>
      <c r="B46" s="533"/>
      <c r="C46" s="534"/>
      <c r="D46" s="534"/>
      <c r="E46" s="535"/>
      <c r="F46" s="494"/>
      <c r="G46" s="534"/>
      <c r="H46" s="534"/>
    </row>
    <row r="47" spans="1:8" ht="12.75">
      <c r="A47" s="532"/>
      <c r="B47" s="533"/>
      <c r="C47" s="534"/>
      <c r="D47" s="534"/>
      <c r="E47" s="535"/>
      <c r="F47" s="494"/>
      <c r="G47" s="534"/>
      <c r="H47" s="534"/>
    </row>
    <row r="48" spans="1:8" ht="12.75">
      <c r="A48" s="1443" t="s">
        <v>1128</v>
      </c>
      <c r="B48" s="1405" t="s">
        <v>495</v>
      </c>
      <c r="C48" s="1405" t="s">
        <v>1140</v>
      </c>
      <c r="D48" s="1478"/>
      <c r="E48" s="1478"/>
      <c r="F48" s="1478"/>
      <c r="G48" s="1478"/>
      <c r="H48" s="1478"/>
    </row>
    <row r="49" spans="1:8" ht="12.75">
      <c r="A49" s="1444"/>
      <c r="B49" s="1445"/>
      <c r="C49" s="534"/>
      <c r="D49" s="534" t="s">
        <v>490</v>
      </c>
      <c r="E49" s="494"/>
      <c r="F49" s="494"/>
      <c r="G49" s="1446"/>
      <c r="H49" s="1446"/>
    </row>
    <row r="50" spans="1:8" ht="24">
      <c r="A50" s="1444"/>
      <c r="B50" s="1445"/>
      <c r="C50" s="538" t="s">
        <v>1142</v>
      </c>
      <c r="D50" s="1479"/>
      <c r="E50" s="1479"/>
      <c r="F50" s="1479"/>
      <c r="G50" s="1479"/>
      <c r="H50" s="1479"/>
    </row>
    <row r="51" spans="1:8" ht="12.75">
      <c r="A51" s="1447"/>
      <c r="B51" s="494"/>
      <c r="C51" s="534"/>
      <c r="D51" s="534" t="s">
        <v>492</v>
      </c>
      <c r="E51" s="494"/>
      <c r="F51" s="494"/>
      <c r="G51" s="1446"/>
      <c r="H51" s="1446"/>
    </row>
    <row r="52" spans="1:8" ht="12.75">
      <c r="A52" s="540"/>
      <c r="B52" s="536"/>
      <c r="C52" s="537"/>
      <c r="D52" s="537"/>
      <c r="E52" s="536"/>
      <c r="F52" s="536"/>
      <c r="G52" s="539"/>
      <c r="H52" s="539"/>
    </row>
    <row r="53" spans="1:8" ht="12.75">
      <c r="A53" s="540"/>
      <c r="B53" s="536"/>
      <c r="C53" s="537"/>
      <c r="D53" s="537"/>
      <c r="E53" s="536"/>
      <c r="F53" s="536"/>
      <c r="G53" s="539"/>
      <c r="H53" s="539"/>
    </row>
    <row r="54" spans="1:8" ht="12.75">
      <c r="A54" s="540"/>
      <c r="B54" s="540"/>
      <c r="C54" s="541"/>
      <c r="D54" s="541"/>
      <c r="E54" s="540"/>
      <c r="F54" s="540"/>
      <c r="G54" s="542"/>
      <c r="H54" s="542"/>
    </row>
    <row r="55" spans="1:8" ht="12.75">
      <c r="A55" s="540"/>
      <c r="B55" s="540"/>
      <c r="C55" s="541"/>
      <c r="D55" s="541"/>
      <c r="E55" s="540"/>
      <c r="F55" s="540"/>
      <c r="G55" s="542"/>
      <c r="H55" s="542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22">
      <selection activeCell="A1" sqref="A1"/>
    </sheetView>
  </sheetViews>
  <sheetFormatPr defaultColWidth="9.00390625" defaultRowHeight="14.25"/>
  <cols>
    <col min="1" max="1" width="63.625" style="545" customWidth="1"/>
    <col min="2" max="2" width="8.75390625" style="545" customWidth="1"/>
    <col min="3" max="3" width="11.50390625" style="545" customWidth="1"/>
    <col min="4" max="4" width="12.125" style="545" customWidth="1"/>
    <col min="5" max="16384" width="8.00390625" style="545" customWidth="1"/>
  </cols>
  <sheetData>
    <row r="1" spans="1:4" ht="12.75">
      <c r="A1" s="543"/>
      <c r="B1" s="543"/>
      <c r="C1" s="544"/>
      <c r="D1" s="544"/>
    </row>
    <row r="2" spans="1:4" ht="12.75">
      <c r="A2" s="546" t="s">
        <v>2260</v>
      </c>
      <c r="B2" s="546"/>
      <c r="C2" s="547"/>
      <c r="D2" s="547"/>
    </row>
    <row r="3" spans="1:4" ht="12.75">
      <c r="A3" s="1448"/>
      <c r="B3" s="1448"/>
      <c r="C3" s="1449"/>
      <c r="D3" s="1449"/>
    </row>
    <row r="4" spans="1:4" ht="15">
      <c r="A4" s="1450" t="s">
        <v>2261</v>
      </c>
      <c r="B4" s="1450" t="str">
        <f>'[1]справка №1-БАЛАНС'!E3</f>
        <v>ВИНЗАВОД АД</v>
      </c>
      <c r="C4" s="1451" t="s">
        <v>446</v>
      </c>
      <c r="D4" s="1451">
        <f>'[1]справка №1-БАЛАНС'!H3</f>
        <v>115040215</v>
      </c>
    </row>
    <row r="5" spans="1:4" ht="15">
      <c r="A5" s="1450" t="s">
        <v>139</v>
      </c>
      <c r="B5" s="1450" t="str">
        <f>'[1]справка №1-БАЛАНС'!E4</f>
        <v>неконсолидиран </v>
      </c>
      <c r="C5" s="1452" t="s">
        <v>356</v>
      </c>
      <c r="D5" s="1451">
        <f>'[1]справка №1-БАЛАНС'!H4</f>
        <v>175</v>
      </c>
    </row>
    <row r="6" spans="1:4" ht="12.75">
      <c r="A6" s="1453" t="s">
        <v>138</v>
      </c>
      <c r="B6" s="1454" t="str">
        <f>'[1]справка №1-БАЛАНС'!E5</f>
        <v>01.01.2008-31.12.2008 година </v>
      </c>
      <c r="C6" s="1455"/>
      <c r="D6" s="1456" t="s">
        <v>634</v>
      </c>
    </row>
    <row r="7" spans="1:4" ht="24">
      <c r="A7" s="548" t="s">
        <v>2262</v>
      </c>
      <c r="B7" s="548" t="s">
        <v>449</v>
      </c>
      <c r="C7" s="549" t="s">
        <v>450</v>
      </c>
      <c r="D7" s="549" t="s">
        <v>1027</v>
      </c>
    </row>
    <row r="8" spans="1:4" ht="12.75">
      <c r="A8" s="548" t="s">
        <v>1405</v>
      </c>
      <c r="B8" s="548" t="s">
        <v>1558</v>
      </c>
      <c r="C8" s="550">
        <v>1</v>
      </c>
      <c r="D8" s="550">
        <v>2</v>
      </c>
    </row>
    <row r="9" spans="1:4" ht="12.75">
      <c r="A9" s="551" t="s">
        <v>2263</v>
      </c>
      <c r="B9" s="552"/>
      <c r="C9" s="553"/>
      <c r="D9" s="553"/>
    </row>
    <row r="10" spans="1:4" ht="12.75">
      <c r="A10" s="554" t="s">
        <v>2264</v>
      </c>
      <c r="B10" s="555" t="s">
        <v>2265</v>
      </c>
      <c r="C10" s="556">
        <v>7852</v>
      </c>
      <c r="D10" s="556">
        <v>6731</v>
      </c>
    </row>
    <row r="11" spans="1:4" ht="12.75">
      <c r="A11" s="554" t="s">
        <v>2266</v>
      </c>
      <c r="B11" s="555" t="s">
        <v>2267</v>
      </c>
      <c r="C11" s="556">
        <v>-6211</v>
      </c>
      <c r="D11" s="556">
        <v>-5062</v>
      </c>
    </row>
    <row r="12" spans="1:4" ht="12.75">
      <c r="A12" s="554" t="s">
        <v>2268</v>
      </c>
      <c r="B12" s="555" t="s">
        <v>778</v>
      </c>
      <c r="C12" s="556"/>
      <c r="D12" s="556"/>
    </row>
    <row r="13" spans="1:4" ht="12.75">
      <c r="A13" s="554" t="s">
        <v>512</v>
      </c>
      <c r="B13" s="555" t="s">
        <v>779</v>
      </c>
      <c r="C13" s="556">
        <v>-832</v>
      </c>
      <c r="D13" s="556">
        <v>-815</v>
      </c>
    </row>
    <row r="14" spans="1:4" ht="12.75">
      <c r="A14" s="554" t="s">
        <v>2345</v>
      </c>
      <c r="B14" s="555" t="s">
        <v>780</v>
      </c>
      <c r="C14" s="556">
        <v>-790</v>
      </c>
      <c r="D14" s="556">
        <v>-169</v>
      </c>
    </row>
    <row r="15" spans="1:4" ht="12.75">
      <c r="A15" s="557" t="s">
        <v>2346</v>
      </c>
      <c r="B15" s="555" t="s">
        <v>670</v>
      </c>
      <c r="C15" s="556">
        <v>-74</v>
      </c>
      <c r="D15" s="556">
        <v>-8</v>
      </c>
    </row>
    <row r="16" spans="1:4" ht="12.75">
      <c r="A16" s="554" t="s">
        <v>2347</v>
      </c>
      <c r="B16" s="555" t="s">
        <v>2348</v>
      </c>
      <c r="C16" s="556">
        <v>94</v>
      </c>
      <c r="D16" s="556"/>
    </row>
    <row r="17" spans="1:4" ht="12.75">
      <c r="A17" s="554" t="s">
        <v>2349</v>
      </c>
      <c r="B17" s="555" t="s">
        <v>2350</v>
      </c>
      <c r="C17" s="556">
        <v>-396</v>
      </c>
      <c r="D17" s="556">
        <v>-71</v>
      </c>
    </row>
    <row r="18" spans="1:4" ht="12.75">
      <c r="A18" s="557" t="s">
        <v>2351</v>
      </c>
      <c r="B18" s="558" t="s">
        <v>782</v>
      </c>
      <c r="C18" s="556"/>
      <c r="D18" s="556">
        <v>-2</v>
      </c>
    </row>
    <row r="19" spans="1:4" ht="12.75">
      <c r="A19" s="554" t="s">
        <v>2352</v>
      </c>
      <c r="B19" s="555" t="s">
        <v>783</v>
      </c>
      <c r="C19" s="556">
        <v>5</v>
      </c>
      <c r="D19" s="556">
        <v>22</v>
      </c>
    </row>
    <row r="20" spans="1:4" ht="12.75">
      <c r="A20" s="559" t="s">
        <v>2353</v>
      </c>
      <c r="B20" s="560" t="s">
        <v>800</v>
      </c>
      <c r="C20" s="553">
        <f>SUM(C10:C19)</f>
        <v>-352</v>
      </c>
      <c r="D20" s="553">
        <f>SUM(D10:D19)</f>
        <v>626</v>
      </c>
    </row>
    <row r="21" spans="1:4" ht="12.75">
      <c r="A21" s="551" t="s">
        <v>2354</v>
      </c>
      <c r="B21" s="561"/>
      <c r="C21" s="562"/>
      <c r="D21" s="562"/>
    </row>
    <row r="22" spans="1:4" ht="12.75">
      <c r="A22" s="554" t="s">
        <v>2355</v>
      </c>
      <c r="B22" s="555" t="s">
        <v>2356</v>
      </c>
      <c r="C22" s="556">
        <v>-246</v>
      </c>
      <c r="D22" s="556">
        <v>-56</v>
      </c>
    </row>
    <row r="23" spans="1:4" ht="12.75">
      <c r="A23" s="554" t="s">
        <v>2357</v>
      </c>
      <c r="B23" s="555" t="s">
        <v>2358</v>
      </c>
      <c r="C23" s="556"/>
      <c r="D23" s="556"/>
    </row>
    <row r="24" spans="1:4" ht="12.75">
      <c r="A24" s="554" t="s">
        <v>2359</v>
      </c>
      <c r="B24" s="555" t="s">
        <v>2360</v>
      </c>
      <c r="C24" s="556"/>
      <c r="D24" s="556"/>
    </row>
    <row r="25" spans="1:4" ht="12.75">
      <c r="A25" s="554" t="s">
        <v>2361</v>
      </c>
      <c r="B25" s="555" t="s">
        <v>2362</v>
      </c>
      <c r="C25" s="556"/>
      <c r="D25" s="556"/>
    </row>
    <row r="26" spans="1:4" ht="12.75">
      <c r="A26" s="554" t="s">
        <v>2363</v>
      </c>
      <c r="B26" s="555" t="s">
        <v>673</v>
      </c>
      <c r="C26" s="556"/>
      <c r="D26" s="556"/>
    </row>
    <row r="27" spans="1:4" ht="12.75">
      <c r="A27" s="554" t="s">
        <v>2364</v>
      </c>
      <c r="B27" s="555" t="s">
        <v>2365</v>
      </c>
      <c r="C27" s="556"/>
      <c r="D27" s="556"/>
    </row>
    <row r="28" spans="1:4" ht="12.75">
      <c r="A28" s="554" t="s">
        <v>2366</v>
      </c>
      <c r="B28" s="555" t="s">
        <v>2367</v>
      </c>
      <c r="C28" s="556"/>
      <c r="D28" s="556"/>
    </row>
    <row r="29" spans="1:4" ht="12.75">
      <c r="A29" s="554" t="s">
        <v>2368</v>
      </c>
      <c r="B29" s="555" t="s">
        <v>679</v>
      </c>
      <c r="C29" s="556"/>
      <c r="D29" s="556"/>
    </row>
    <row r="30" spans="1:4" ht="12.75">
      <c r="A30" s="554" t="s">
        <v>2351</v>
      </c>
      <c r="B30" s="555" t="s">
        <v>674</v>
      </c>
      <c r="C30" s="556"/>
      <c r="D30" s="556"/>
    </row>
    <row r="31" spans="1:4" ht="12.75">
      <c r="A31" s="554" t="s">
        <v>2369</v>
      </c>
      <c r="B31" s="555" t="s">
        <v>675</v>
      </c>
      <c r="C31" s="556"/>
      <c r="D31" s="556"/>
    </row>
    <row r="32" spans="1:4" ht="12.75">
      <c r="A32" s="559" t="s">
        <v>2338</v>
      </c>
      <c r="B32" s="560" t="s">
        <v>801</v>
      </c>
      <c r="C32" s="553">
        <f>SUM(C22:C31)</f>
        <v>-246</v>
      </c>
      <c r="D32" s="553">
        <f>SUM(D22:D31)</f>
        <v>-56</v>
      </c>
    </row>
    <row r="33" spans="1:4" ht="12.75">
      <c r="A33" s="551" t="s">
        <v>646</v>
      </c>
      <c r="B33" s="561"/>
      <c r="C33" s="562"/>
      <c r="D33" s="562"/>
    </row>
    <row r="34" spans="1:4" ht="12.75">
      <c r="A34" s="554" t="s">
        <v>647</v>
      </c>
      <c r="B34" s="555" t="s">
        <v>648</v>
      </c>
      <c r="C34" s="556"/>
      <c r="D34" s="556"/>
    </row>
    <row r="35" spans="1:4" ht="12.75">
      <c r="A35" s="557" t="s">
        <v>649</v>
      </c>
      <c r="B35" s="555" t="s">
        <v>650</v>
      </c>
      <c r="C35" s="556"/>
      <c r="D35" s="556"/>
    </row>
    <row r="36" spans="1:4" ht="12.75">
      <c r="A36" s="554" t="s">
        <v>651</v>
      </c>
      <c r="B36" s="555" t="s">
        <v>652</v>
      </c>
      <c r="C36" s="556">
        <v>7198</v>
      </c>
      <c r="D36" s="556">
        <v>2253</v>
      </c>
    </row>
    <row r="37" spans="1:4" ht="12.75">
      <c r="A37" s="554" t="s">
        <v>653</v>
      </c>
      <c r="B37" s="555" t="s">
        <v>654</v>
      </c>
      <c r="C37" s="556">
        <v>-4845</v>
      </c>
      <c r="D37" s="556">
        <v>-2550</v>
      </c>
    </row>
    <row r="38" spans="1:4" ht="12.75">
      <c r="A38" s="554" t="s">
        <v>655</v>
      </c>
      <c r="B38" s="555" t="s">
        <v>804</v>
      </c>
      <c r="C38" s="556"/>
      <c r="D38" s="556"/>
    </row>
    <row r="39" spans="1:4" ht="12.75">
      <c r="A39" s="554" t="s">
        <v>656</v>
      </c>
      <c r="B39" s="555" t="s">
        <v>884</v>
      </c>
      <c r="C39" s="556"/>
      <c r="D39" s="556">
        <v>-210</v>
      </c>
    </row>
    <row r="40" spans="1:4" ht="12.75">
      <c r="A40" s="554" t="s">
        <v>657</v>
      </c>
      <c r="B40" s="555" t="s">
        <v>883</v>
      </c>
      <c r="C40" s="556"/>
      <c r="D40" s="556"/>
    </row>
    <row r="41" spans="1:4" ht="12.75">
      <c r="A41" s="554" t="s">
        <v>658</v>
      </c>
      <c r="B41" s="555" t="s">
        <v>805</v>
      </c>
      <c r="C41" s="556">
        <v>-1869</v>
      </c>
      <c r="D41" s="556"/>
    </row>
    <row r="42" spans="1:4" ht="12.75">
      <c r="A42" s="559" t="s">
        <v>659</v>
      </c>
      <c r="B42" s="560" t="s">
        <v>885</v>
      </c>
      <c r="C42" s="553">
        <f>SUM(C34:C41)</f>
        <v>484</v>
      </c>
      <c r="D42" s="553">
        <f>SUM(D34:D41)</f>
        <v>-507</v>
      </c>
    </row>
    <row r="43" spans="1:4" ht="12.75">
      <c r="A43" s="563" t="s">
        <v>660</v>
      </c>
      <c r="B43" s="560" t="s">
        <v>886</v>
      </c>
      <c r="C43" s="553">
        <f>C42+C32+C20</f>
        <v>-114</v>
      </c>
      <c r="D43" s="553">
        <f>D42+D32+D20</f>
        <v>63</v>
      </c>
    </row>
    <row r="44" spans="1:4" ht="12.75">
      <c r="A44" s="551" t="s">
        <v>661</v>
      </c>
      <c r="B44" s="561" t="s">
        <v>887</v>
      </c>
      <c r="C44" s="564">
        <v>239</v>
      </c>
      <c r="D44" s="564">
        <v>176</v>
      </c>
    </row>
    <row r="45" spans="1:4" ht="12.75">
      <c r="A45" s="551" t="s">
        <v>662</v>
      </c>
      <c r="B45" s="561" t="s">
        <v>888</v>
      </c>
      <c r="C45" s="553">
        <f>C44+C43</f>
        <v>125</v>
      </c>
      <c r="D45" s="553">
        <f>D44+D43</f>
        <v>239</v>
      </c>
    </row>
    <row r="46" spans="1:4" ht="12.75">
      <c r="A46" s="554" t="s">
        <v>663</v>
      </c>
      <c r="B46" s="561" t="s">
        <v>889</v>
      </c>
      <c r="C46" s="565">
        <v>125</v>
      </c>
      <c r="D46" s="565">
        <v>239</v>
      </c>
    </row>
    <row r="47" spans="1:4" ht="12.75">
      <c r="A47" s="554" t="s">
        <v>664</v>
      </c>
      <c r="B47" s="561" t="s">
        <v>890</v>
      </c>
      <c r="C47" s="565">
        <v>0</v>
      </c>
      <c r="D47" s="565">
        <v>0</v>
      </c>
    </row>
    <row r="48" spans="1:4" ht="12.75">
      <c r="A48" s="566"/>
      <c r="B48" s="567"/>
      <c r="C48" s="568"/>
      <c r="D48" s="568"/>
    </row>
    <row r="49" spans="1:4" ht="12.75">
      <c r="A49" s="1406" t="s">
        <v>496</v>
      </c>
      <c r="B49" s="1338"/>
      <c r="C49" s="544"/>
      <c r="D49" s="570"/>
    </row>
    <row r="50" spans="1:4" ht="12.75">
      <c r="A50" s="543"/>
      <c r="B50" s="1338" t="s">
        <v>1140</v>
      </c>
      <c r="C50" s="1483"/>
      <c r="D50" s="1483"/>
    </row>
    <row r="51" spans="1:4" ht="24">
      <c r="A51" s="543"/>
      <c r="B51" s="543" t="s">
        <v>497</v>
      </c>
      <c r="C51" s="544"/>
      <c r="D51" s="544"/>
    </row>
    <row r="52" spans="1:4" ht="12.75">
      <c r="A52" s="543"/>
      <c r="B52" s="1338" t="s">
        <v>1142</v>
      </c>
      <c r="C52" s="1483"/>
      <c r="D52" s="1483"/>
    </row>
    <row r="53" spans="1:4" ht="24">
      <c r="A53" s="543"/>
      <c r="B53" s="543" t="s">
        <v>498</v>
      </c>
      <c r="C53" s="544"/>
      <c r="D53" s="544"/>
    </row>
    <row r="54" spans="1:4" ht="12.75">
      <c r="A54" s="571"/>
      <c r="B54" s="571"/>
      <c r="C54" s="569"/>
      <c r="D54" s="569"/>
    </row>
    <row r="55" spans="1:4" ht="12.75">
      <c r="A55" s="571"/>
      <c r="B55" s="571"/>
      <c r="C55" s="569"/>
      <c r="D55" s="569"/>
    </row>
    <row r="56" spans="1:4" ht="12.75">
      <c r="A56" s="571"/>
      <c r="B56" s="571"/>
      <c r="C56" s="569"/>
      <c r="D56" s="569"/>
    </row>
    <row r="57" spans="1:4" ht="12.75">
      <c r="A57" s="571"/>
      <c r="B57" s="1338" t="s">
        <v>1142</v>
      </c>
      <c r="C57" s="569"/>
      <c r="D57" s="569"/>
    </row>
    <row r="58" spans="1:4" ht="12.75">
      <c r="A58" s="571"/>
      <c r="B58" s="571"/>
      <c r="C58" s="569"/>
      <c r="D58" s="569"/>
    </row>
    <row r="59" spans="1:4" ht="12.75">
      <c r="A59" s="572"/>
      <c r="B59" s="572"/>
      <c r="C59" s="573"/>
      <c r="D59" s="573"/>
    </row>
    <row r="60" spans="1:4" ht="12.75">
      <c r="A60" s="572"/>
      <c r="B60" s="572"/>
      <c r="C60" s="573"/>
      <c r="D60" s="573"/>
    </row>
    <row r="61" spans="1:4" ht="12.75">
      <c r="A61" s="572"/>
      <c r="B61" s="572"/>
      <c r="C61" s="573"/>
      <c r="D61" s="573"/>
    </row>
    <row r="62" spans="1:4" ht="12.75">
      <c r="A62" s="572"/>
      <c r="B62" s="572"/>
      <c r="C62" s="573"/>
      <c r="D62" s="573"/>
    </row>
    <row r="63" spans="1:4" ht="12.75">
      <c r="A63" s="572"/>
      <c r="B63" s="572"/>
      <c r="C63" s="573"/>
      <c r="D63" s="573"/>
    </row>
    <row r="64" spans="1:4" ht="12.75">
      <c r="A64" s="572"/>
      <c r="B64" s="572"/>
      <c r="C64" s="573"/>
      <c r="D64" s="573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3344"/>
  <sheetViews>
    <sheetView showGridLines="0" tabSelected="1" workbookViewId="0" topLeftCell="A173">
      <selection activeCell="I173" sqref="I1:I16384"/>
    </sheetView>
  </sheetViews>
  <sheetFormatPr defaultColWidth="9.00390625" defaultRowHeight="18" customHeight="1"/>
  <cols>
    <col min="1" max="1" width="3.75390625" style="0" customWidth="1"/>
    <col min="2" max="2" width="48.625" style="0" customWidth="1"/>
    <col min="3" max="3" width="8.75390625" style="0" customWidth="1"/>
    <col min="4" max="5" width="12.125" style="0" customWidth="1"/>
    <col min="6" max="6" width="10.00390625" style="0" customWidth="1"/>
    <col min="7" max="7" width="1.625" style="0" customWidth="1"/>
    <col min="8" max="8" width="3.625" style="0" customWidth="1"/>
    <col min="9" max="9" width="52.25390625" style="0" customWidth="1"/>
    <col min="10" max="10" width="7.625" style="0" customWidth="1"/>
    <col min="11" max="12" width="11.00390625" style="0" customWidth="1"/>
    <col min="13" max="13" width="3.00390625" style="0" customWidth="1"/>
    <col min="14" max="14" width="30.50390625" style="0" customWidth="1"/>
    <col min="15" max="15" width="6.375" style="0" customWidth="1"/>
    <col min="16" max="21" width="8.125" style="0" customWidth="1"/>
    <col min="22" max="22" width="3.00390625" style="0" customWidth="1"/>
    <col min="23" max="23" width="41.125" style="0" customWidth="1"/>
    <col min="26" max="26" width="11.25390625" style="0" customWidth="1"/>
    <col min="33" max="33" width="10.375" style="0" customWidth="1"/>
    <col min="34" max="34" width="2.875" style="0" customWidth="1"/>
    <col min="35" max="35" width="54.50390625" style="0" customWidth="1"/>
    <col min="36" max="36" width="13.75390625" style="0" customWidth="1"/>
    <col min="37" max="37" width="15.25390625" style="0" bestFit="1" customWidth="1"/>
    <col min="38" max="38" width="2.50390625" style="0" customWidth="1"/>
    <col min="39" max="39" width="4.75390625" style="0" customWidth="1"/>
    <col min="40" max="47" width="9.50390625" style="0" customWidth="1"/>
    <col min="48" max="48" width="2.75390625" style="0" customWidth="1"/>
    <col min="49" max="49" width="0" style="0" hidden="1" customWidth="1"/>
    <col min="50" max="50" width="11.875" style="0" hidden="1" customWidth="1"/>
    <col min="51" max="57" width="0" style="0" hidden="1" customWidth="1"/>
    <col min="58" max="58" width="36.125" style="0" bestFit="1" customWidth="1"/>
    <col min="59" max="59" width="10.75390625" style="0" bestFit="1" customWidth="1"/>
    <col min="60" max="60" width="12.625" style="0" bestFit="1" customWidth="1"/>
    <col min="85" max="85" width="10.125" style="0" hidden="1" customWidth="1"/>
    <col min="108" max="108" width="9.00390625" style="0" hidden="1" customWidth="1"/>
    <col min="132" max="132" width="72.125" style="0" customWidth="1"/>
    <col min="133" max="133" width="13.75390625" style="0" customWidth="1"/>
    <col min="157" max="171" width="0" style="0" hidden="1" customWidth="1"/>
  </cols>
  <sheetData>
    <row r="1" spans="1:109" ht="15.75" customHeight="1" hidden="1">
      <c r="A1" s="604"/>
      <c r="B1" s="605"/>
      <c r="C1" s="605"/>
      <c r="D1" s="605"/>
      <c r="E1" s="605"/>
      <c r="G1" s="62">
        <f>+' -'!$B$11</f>
      </c>
      <c r="H1" s="62"/>
      <c r="CH1" s="63"/>
      <c r="DC1" s="37"/>
      <c r="DD1" s="390"/>
      <c r="DE1" s="37"/>
    </row>
    <row r="2" spans="1:108" ht="15.75" customHeight="1" hidden="1">
      <c r="A2" s="606" t="s">
        <v>2015</v>
      </c>
      <c r="B2" s="605"/>
      <c r="C2" s="605"/>
      <c r="D2" s="605"/>
      <c r="E2" s="605"/>
      <c r="CG2" s="312" t="s">
        <v>308</v>
      </c>
      <c r="DC2" s="37"/>
      <c r="DD2" s="271" t="str">
        <f>+CG2</f>
        <v>"В И Н З А В О Д"  А Д - гр. АСЕНОВГРАД</v>
      </c>
    </row>
    <row r="3" spans="1:108" ht="15.75" customHeight="1" hidden="1">
      <c r="A3" s="1407" t="s">
        <v>309</v>
      </c>
      <c r="B3" s="605"/>
      <c r="C3" s="605"/>
      <c r="D3" s="605"/>
      <c r="E3" s="605"/>
      <c r="CG3" s="312" t="s">
        <v>309</v>
      </c>
      <c r="DC3" s="388"/>
      <c r="DD3" s="271" t="str">
        <f>+CG3</f>
        <v>на  "ВИНЗАВОД"  АД - гр. Асеновград  към</v>
      </c>
    </row>
    <row r="4" spans="1:109" ht="15.75" customHeight="1" hidden="1">
      <c r="A4" s="1209">
        <v>39813</v>
      </c>
      <c r="B4" s="605"/>
      <c r="C4" s="605"/>
      <c r="D4" s="605"/>
      <c r="E4" s="605"/>
      <c r="CG4" s="312" t="s">
        <v>310</v>
      </c>
      <c r="DC4" s="388"/>
      <c r="DD4" s="271" t="str">
        <f>+CG4</f>
        <v>Програмата е разработена от фирма "Дайк" - тел.: (032) 25 30 60; GSM: 088 72 72 248;  ICQ: 338172185                                           E-mail: michev@evrocom.net   Web: www.daik.dir.bg</v>
      </c>
      <c r="DE4" s="389"/>
    </row>
    <row r="5" spans="1:109" ht="15.75" customHeight="1" hidden="1">
      <c r="A5" s="607" t="s">
        <v>1404</v>
      </c>
      <c r="B5" s="608"/>
      <c r="C5" s="608"/>
      <c r="D5" s="51"/>
      <c r="E5" s="608"/>
      <c r="CG5" s="312" t="s">
        <v>308</v>
      </c>
      <c r="DC5" s="388"/>
      <c r="DD5" s="271" t="str">
        <f>+CG5</f>
        <v>"В И Н З А В О Д"  А Д - гр. АСЕНОВГРАД</v>
      </c>
      <c r="DE5" s="389"/>
    </row>
    <row r="6" spans="1:109" ht="15.75" customHeight="1" hidden="1">
      <c r="A6" s="609"/>
      <c r="B6" s="610"/>
      <c r="C6" s="611" t="s">
        <v>282</v>
      </c>
      <c r="D6" s="612" t="s">
        <v>2017</v>
      </c>
      <c r="E6" s="613"/>
      <c r="CG6" s="395" t="str">
        <f>$AM$1104</f>
        <v>на  "ВИНЗАВОД"  АД - гр. Асеновград  към</v>
      </c>
      <c r="CH6" s="63"/>
      <c r="DC6" s="388"/>
      <c r="DD6" s="271" t="str">
        <f>+CG6</f>
        <v>на  "ВИНЗАВОД"  АД - гр. Асеновград  към</v>
      </c>
      <c r="DE6" s="389"/>
    </row>
    <row r="7" spans="1:109" ht="15.75" customHeight="1" hidden="1">
      <c r="A7" s="614" t="s">
        <v>1612</v>
      </c>
      <c r="B7" s="615" t="s">
        <v>2016</v>
      </c>
      <c r="C7" s="615" t="s">
        <v>1191</v>
      </c>
      <c r="D7" s="616" t="s">
        <v>2018</v>
      </c>
      <c r="E7" s="616" t="s">
        <v>2020</v>
      </c>
      <c r="CG7" s="312"/>
      <c r="CH7" s="63"/>
      <c r="DC7" s="388"/>
      <c r="DD7" s="394">
        <f>' -'!$B$9</f>
        <v>1168</v>
      </c>
      <c r="DE7" s="389"/>
    </row>
    <row r="8" spans="1:109" ht="15.75" customHeight="1" hidden="1">
      <c r="A8" s="617"/>
      <c r="B8" s="618"/>
      <c r="C8" s="618" t="s">
        <v>283</v>
      </c>
      <c r="D8" s="619" t="s">
        <v>2019</v>
      </c>
      <c r="E8" s="619" t="s">
        <v>2019</v>
      </c>
      <c r="CH8" s="63"/>
      <c r="DD8" s="387"/>
      <c r="DE8" s="387"/>
    </row>
    <row r="9" spans="1:109" ht="15.75" customHeight="1" hidden="1">
      <c r="A9" s="620" t="s">
        <v>1405</v>
      </c>
      <c r="B9" s="610" t="s">
        <v>1558</v>
      </c>
      <c r="C9" s="610" t="s">
        <v>284</v>
      </c>
      <c r="D9" s="610">
        <v>1</v>
      </c>
      <c r="E9" s="610">
        <v>2</v>
      </c>
      <c r="CH9" s="63"/>
      <c r="DD9" s="387"/>
      <c r="DE9" s="387"/>
    </row>
    <row r="10" spans="1:86" ht="15.75" customHeight="1" hidden="1">
      <c r="A10" s="621" t="s">
        <v>1855</v>
      </c>
      <c r="B10" s="622" t="s">
        <v>1871</v>
      </c>
      <c r="C10" s="622"/>
      <c r="D10" s="609"/>
      <c r="E10" s="609"/>
      <c r="CH10" s="63"/>
    </row>
    <row r="11" spans="1:86" ht="15.75" customHeight="1" hidden="1">
      <c r="A11" s="614" t="s">
        <v>738</v>
      </c>
      <c r="B11" s="623" t="s">
        <v>1110</v>
      </c>
      <c r="C11" s="623"/>
      <c r="D11" s="624"/>
      <c r="E11" s="624"/>
      <c r="CH11" s="63"/>
    </row>
    <row r="12" spans="1:86" ht="15.75" customHeight="1" hidden="1">
      <c r="A12" s="625">
        <v>1</v>
      </c>
      <c r="B12" s="626" t="s">
        <v>1111</v>
      </c>
      <c r="C12" s="627" t="s">
        <v>285</v>
      </c>
      <c r="D12" s="1311">
        <f>Баланс!C11</f>
        <v>1480</v>
      </c>
      <c r="E12" s="1311">
        <f>Баланс!D11</f>
        <v>1476</v>
      </c>
      <c r="CH12" s="63"/>
    </row>
    <row r="13" spans="1:86" ht="15.75" customHeight="1" hidden="1">
      <c r="A13" s="620">
        <v>2</v>
      </c>
      <c r="B13" s="617" t="s">
        <v>1112</v>
      </c>
      <c r="C13" s="627" t="s">
        <v>286</v>
      </c>
      <c r="D13" s="1311">
        <f>Баланс!C12</f>
        <v>2822</v>
      </c>
      <c r="E13" s="1311">
        <f>Баланс!D12</f>
        <v>2906</v>
      </c>
      <c r="CH13" s="63"/>
    </row>
    <row r="14" spans="1:86" ht="15.75" customHeight="1" hidden="1">
      <c r="A14" s="620">
        <v>3</v>
      </c>
      <c r="B14" s="629" t="s">
        <v>1113</v>
      </c>
      <c r="C14" s="627" t="s">
        <v>287</v>
      </c>
      <c r="D14" s="1311">
        <f>Баланс!C13</f>
        <v>848</v>
      </c>
      <c r="E14" s="1311">
        <f>Баланс!D13</f>
        <v>991</v>
      </c>
      <c r="CH14" s="63"/>
    </row>
    <row r="15" spans="1:86" ht="15.75" customHeight="1" hidden="1">
      <c r="A15" s="620">
        <v>4</v>
      </c>
      <c r="B15" s="629" t="s">
        <v>1114</v>
      </c>
      <c r="C15" s="627" t="s">
        <v>288</v>
      </c>
      <c r="D15" s="1311">
        <f>Баланс!C14</f>
        <v>801</v>
      </c>
      <c r="E15" s="1311">
        <f>Баланс!D14</f>
        <v>849</v>
      </c>
      <c r="CH15" s="63"/>
    </row>
    <row r="16" spans="1:86" ht="15.75" customHeight="1" hidden="1">
      <c r="A16" s="620">
        <v>5</v>
      </c>
      <c r="B16" s="629" t="s">
        <v>1115</v>
      </c>
      <c r="C16" s="627" t="s">
        <v>289</v>
      </c>
      <c r="D16" s="1311">
        <f>Баланс!C15</f>
        <v>65</v>
      </c>
      <c r="E16" s="1311">
        <f>Баланс!D15</f>
        <v>74</v>
      </c>
      <c r="CH16" s="63"/>
    </row>
    <row r="17" spans="1:86" ht="15.75" customHeight="1" hidden="1">
      <c r="A17" s="620">
        <v>6</v>
      </c>
      <c r="B17" s="1313" t="s">
        <v>290</v>
      </c>
      <c r="C17" s="1314" t="s">
        <v>291</v>
      </c>
      <c r="D17" s="1311">
        <f>Баланс!C16</f>
        <v>12</v>
      </c>
      <c r="E17" s="1311">
        <f>Баланс!D16</f>
        <v>30</v>
      </c>
      <c r="CH17" s="63"/>
    </row>
    <row r="18" spans="1:86" ht="15.75" customHeight="1" hidden="1">
      <c r="A18" s="620">
        <v>7</v>
      </c>
      <c r="B18" s="1313" t="s">
        <v>682</v>
      </c>
      <c r="C18" s="1314" t="s">
        <v>683</v>
      </c>
      <c r="D18" s="1311">
        <f>Баланс!C18+Баланс!C21</f>
        <v>744</v>
      </c>
      <c r="E18" s="1311">
        <f>Баланс!D18+Баланс!D21</f>
        <v>658</v>
      </c>
      <c r="CH18" s="63"/>
    </row>
    <row r="19" spans="1:5" ht="15.75" customHeight="1" hidden="1">
      <c r="A19" s="620">
        <v>8</v>
      </c>
      <c r="B19" s="1315" t="s">
        <v>1005</v>
      </c>
      <c r="C19" s="1316" t="s">
        <v>293</v>
      </c>
      <c r="D19" s="1311">
        <f>Баланс!C17</f>
        <v>1</v>
      </c>
      <c r="E19" s="1311">
        <f>Баланс!D17</f>
        <v>1</v>
      </c>
    </row>
    <row r="20" spans="1:5" ht="15.75" customHeight="1" hidden="1">
      <c r="A20" s="620"/>
      <c r="B20" s="631" t="s">
        <v>854</v>
      </c>
      <c r="C20" s="632" t="s">
        <v>298</v>
      </c>
      <c r="D20" s="633">
        <f>SUM(D12:D19)</f>
        <v>6773</v>
      </c>
      <c r="E20" s="633">
        <f>SUM(E12:E19)</f>
        <v>6985</v>
      </c>
    </row>
    <row r="21" spans="1:5" ht="15.75" customHeight="1" hidden="1">
      <c r="A21" s="614" t="s">
        <v>1356</v>
      </c>
      <c r="B21" s="622" t="s">
        <v>1116</v>
      </c>
      <c r="C21" s="634"/>
      <c r="D21" s="609"/>
      <c r="E21" s="609"/>
    </row>
    <row r="22" spans="1:5" ht="15.75" customHeight="1" hidden="1">
      <c r="A22" s="625">
        <v>1</v>
      </c>
      <c r="B22" s="1317" t="s">
        <v>1117</v>
      </c>
      <c r="C22" s="627" t="s">
        <v>294</v>
      </c>
      <c r="D22" s="1311">
        <f>Баланс!C23</f>
        <v>0</v>
      </c>
      <c r="E22" s="1311">
        <f>Баланс!D23</f>
        <v>0</v>
      </c>
    </row>
    <row r="23" spans="1:5" ht="15.75" customHeight="1" hidden="1">
      <c r="A23" s="620">
        <v>2</v>
      </c>
      <c r="B23" s="1315" t="s">
        <v>1118</v>
      </c>
      <c r="C23" s="627" t="s">
        <v>295</v>
      </c>
      <c r="D23" s="1311">
        <f>Баланс!C24</f>
        <v>1</v>
      </c>
      <c r="E23" s="1311">
        <f>Баланс!D24</f>
        <v>6</v>
      </c>
    </row>
    <row r="24" spans="1:5" ht="15.75" customHeight="1" hidden="1">
      <c r="A24" s="620">
        <v>3</v>
      </c>
      <c r="B24" s="1313" t="s">
        <v>1119</v>
      </c>
      <c r="C24" s="627" t="s">
        <v>296</v>
      </c>
      <c r="D24" s="1311">
        <f>Баланс!C25</f>
        <v>0</v>
      </c>
      <c r="E24" s="1311">
        <f>Баланс!D25</f>
        <v>0</v>
      </c>
    </row>
    <row r="25" spans="1:5" ht="15.75" customHeight="1" hidden="1">
      <c r="A25" s="620">
        <v>4</v>
      </c>
      <c r="B25" s="1313" t="s">
        <v>821</v>
      </c>
      <c r="C25" s="627" t="s">
        <v>297</v>
      </c>
      <c r="D25" s="1311">
        <f>Баланс!C26</f>
        <v>0</v>
      </c>
      <c r="E25" s="1311">
        <f>Баланс!D26</f>
        <v>0</v>
      </c>
    </row>
    <row r="26" spans="1:5" ht="15.75" customHeight="1" hidden="1">
      <c r="A26" s="620"/>
      <c r="B26" s="635" t="s">
        <v>2202</v>
      </c>
      <c r="C26" s="632" t="s">
        <v>299</v>
      </c>
      <c r="D26" s="633">
        <f>SUM(D22:D25)</f>
        <v>1</v>
      </c>
      <c r="E26" s="633">
        <f>SUM(E22:E25)</f>
        <v>6</v>
      </c>
    </row>
    <row r="27" spans="1:5" ht="15.75" customHeight="1" hidden="1">
      <c r="A27" s="614" t="s">
        <v>1357</v>
      </c>
      <c r="B27" s="609" t="s">
        <v>726</v>
      </c>
      <c r="C27" s="609"/>
      <c r="D27" s="609"/>
      <c r="E27" s="609"/>
    </row>
    <row r="28" spans="1:5" ht="15.75" customHeight="1" hidden="1">
      <c r="A28" s="625">
        <v>1</v>
      </c>
      <c r="B28" s="617" t="s">
        <v>727</v>
      </c>
      <c r="C28" s="627" t="s">
        <v>307</v>
      </c>
      <c r="D28" s="633">
        <f>SUM(D29:D32)</f>
        <v>0</v>
      </c>
      <c r="E28" s="633">
        <f>SUM(E29:E32)</f>
        <v>0</v>
      </c>
    </row>
    <row r="29" spans="1:5" ht="15.75" customHeight="1" hidden="1">
      <c r="A29" s="620"/>
      <c r="B29" s="1318" t="s">
        <v>822</v>
      </c>
      <c r="C29" s="1316" t="s">
        <v>303</v>
      </c>
      <c r="D29" s="1311">
        <f>Баланс!C35</f>
        <v>0</v>
      </c>
      <c r="E29" s="1311">
        <f>Баланс!D35</f>
        <v>0</v>
      </c>
    </row>
    <row r="30" spans="1:5" ht="15.75" customHeight="1" hidden="1">
      <c r="A30" s="620"/>
      <c r="B30" s="1319" t="s">
        <v>723</v>
      </c>
      <c r="C30" s="1316" t="s">
        <v>304</v>
      </c>
      <c r="D30" s="1311">
        <f>Баланс!C36</f>
        <v>0</v>
      </c>
      <c r="E30" s="1311">
        <f>Баланс!D36</f>
        <v>0</v>
      </c>
    </row>
    <row r="31" spans="1:5" ht="15.75" customHeight="1" hidden="1">
      <c r="A31" s="620"/>
      <c r="B31" s="1320" t="s">
        <v>724</v>
      </c>
      <c r="C31" s="1316" t="s">
        <v>305</v>
      </c>
      <c r="D31" s="1311">
        <f>Баланс!C37</f>
        <v>0</v>
      </c>
      <c r="E31" s="1311">
        <f>Баланс!D37</f>
        <v>0</v>
      </c>
    </row>
    <row r="32" spans="1:5" ht="15.75" customHeight="1" hidden="1">
      <c r="A32" s="620"/>
      <c r="B32" s="1320" t="s">
        <v>725</v>
      </c>
      <c r="C32" s="1316" t="s">
        <v>306</v>
      </c>
      <c r="D32" s="1311">
        <f>Баланс!C38</f>
        <v>0</v>
      </c>
      <c r="E32" s="1311">
        <f>Баланс!D38</f>
        <v>0</v>
      </c>
    </row>
    <row r="33" spans="1:5" ht="15.75" customHeight="1" hidden="1">
      <c r="A33" s="620">
        <v>2</v>
      </c>
      <c r="B33" s="629" t="s">
        <v>728</v>
      </c>
      <c r="C33" s="627" t="s">
        <v>1865</v>
      </c>
      <c r="D33" s="1311">
        <f>Баланс!C20</f>
        <v>0</v>
      </c>
      <c r="E33" s="1311">
        <f>Баланс!D20</f>
        <v>0</v>
      </c>
    </row>
    <row r="34" spans="1:5" ht="15.75" customHeight="1" hidden="1">
      <c r="A34" s="620">
        <v>3</v>
      </c>
      <c r="B34" s="629" t="s">
        <v>41</v>
      </c>
      <c r="C34" s="636" t="s">
        <v>1866</v>
      </c>
      <c r="D34" s="1311">
        <f>SUM(D35:D38)-D37</f>
        <v>0</v>
      </c>
      <c r="E34" s="1311">
        <f>SUM(E35:E38)-E37</f>
        <v>0</v>
      </c>
    </row>
    <row r="35" spans="1:5" ht="15.75" customHeight="1" hidden="1">
      <c r="A35" s="620"/>
      <c r="B35" s="1319" t="s">
        <v>42</v>
      </c>
      <c r="C35" s="1316" t="s">
        <v>1974</v>
      </c>
      <c r="D35" s="1311">
        <f>Баланс!C40</f>
        <v>0</v>
      </c>
      <c r="E35" s="1311">
        <f>Баланс!D40</f>
        <v>0</v>
      </c>
    </row>
    <row r="36" spans="1:5" ht="15.75" customHeight="1" hidden="1">
      <c r="A36" s="620"/>
      <c r="B36" s="1319" t="s">
        <v>43</v>
      </c>
      <c r="C36" s="1316" t="s">
        <v>1976</v>
      </c>
      <c r="D36" s="1311">
        <f>Баланс!C41</f>
        <v>0</v>
      </c>
      <c r="E36" s="1311">
        <f>Баланс!D41</f>
        <v>0</v>
      </c>
    </row>
    <row r="37" spans="1:5" ht="15.75" customHeight="1" hidden="1">
      <c r="A37" s="620"/>
      <c r="B37" s="1318" t="s">
        <v>44</v>
      </c>
      <c r="C37" s="1316" t="s">
        <v>1979</v>
      </c>
      <c r="D37" s="1311">
        <f>Баланс!C42</f>
        <v>0</v>
      </c>
      <c r="E37" s="1311">
        <f>Баланс!D42</f>
        <v>0</v>
      </c>
    </row>
    <row r="38" spans="1:5" ht="15.75" customHeight="1" hidden="1">
      <c r="A38" s="620"/>
      <c r="B38" s="1319" t="s">
        <v>45</v>
      </c>
      <c r="C38" s="1316" t="s">
        <v>1982</v>
      </c>
      <c r="D38" s="1311">
        <f>Баланс!C43</f>
        <v>0</v>
      </c>
      <c r="E38" s="1311">
        <f>Баланс!D43</f>
        <v>0</v>
      </c>
    </row>
    <row r="39" spans="1:5" ht="15.75" customHeight="1" hidden="1">
      <c r="A39" s="620">
        <v>4</v>
      </c>
      <c r="B39" s="1321" t="s">
        <v>46</v>
      </c>
      <c r="C39" s="1316" t="s">
        <v>1985</v>
      </c>
      <c r="D39" s="1311">
        <f>Баланс!C44</f>
        <v>0</v>
      </c>
      <c r="E39" s="1311">
        <f>Баланс!D44</f>
        <v>0</v>
      </c>
    </row>
    <row r="40" spans="1:5" ht="15.75" customHeight="1" hidden="1">
      <c r="A40" s="620">
        <v>5</v>
      </c>
      <c r="B40" s="629" t="s">
        <v>729</v>
      </c>
      <c r="C40" s="627" t="s">
        <v>47</v>
      </c>
      <c r="D40" s="633">
        <f>SUM(D41:D44)</f>
        <v>1906</v>
      </c>
      <c r="E40" s="633">
        <f>SUM(E41:E44)</f>
        <v>0</v>
      </c>
    </row>
    <row r="41" spans="1:5" ht="15.75" customHeight="1" hidden="1">
      <c r="A41" s="620"/>
      <c r="B41" s="629" t="s">
        <v>2212</v>
      </c>
      <c r="C41" s="627" t="s">
        <v>1867</v>
      </c>
      <c r="D41" s="1311">
        <f>Баланс!C47</f>
        <v>961</v>
      </c>
      <c r="E41" s="1311">
        <f>Баланс!D47</f>
        <v>0</v>
      </c>
    </row>
    <row r="42" spans="1:5" ht="15.75" customHeight="1" hidden="1">
      <c r="A42" s="620"/>
      <c r="B42" s="629" t="s">
        <v>499</v>
      </c>
      <c r="C42" s="627" t="s">
        <v>1868</v>
      </c>
      <c r="D42" s="1311">
        <f>Баланс!C48</f>
        <v>945</v>
      </c>
      <c r="E42" s="1311">
        <f>Баланс!D48</f>
        <v>0</v>
      </c>
    </row>
    <row r="43" spans="1:5" ht="15.75" customHeight="1" hidden="1">
      <c r="A43" s="620"/>
      <c r="B43" s="629" t="s">
        <v>1246</v>
      </c>
      <c r="C43" s="627" t="s">
        <v>1247</v>
      </c>
      <c r="D43" s="1311">
        <f>Баланс!C49</f>
        <v>0</v>
      </c>
      <c r="E43" s="1311">
        <f>Баланс!D49</f>
        <v>0</v>
      </c>
    </row>
    <row r="44" spans="1:5" ht="15.75" customHeight="1" hidden="1">
      <c r="A44" s="620"/>
      <c r="B44" s="1320" t="s">
        <v>730</v>
      </c>
      <c r="C44" s="1316" t="s">
        <v>1869</v>
      </c>
      <c r="D44" s="1311">
        <f>Баланс!C50</f>
        <v>0</v>
      </c>
      <c r="E44" s="1311">
        <f>Баланс!D50</f>
        <v>0</v>
      </c>
    </row>
    <row r="45" spans="1:5" ht="15.75" customHeight="1" hidden="1">
      <c r="A45" s="620"/>
      <c r="B45" s="637" t="s">
        <v>500</v>
      </c>
      <c r="C45" s="632" t="s">
        <v>48</v>
      </c>
      <c r="D45" s="633">
        <f>D28+D33+D34+D39+D40</f>
        <v>1906</v>
      </c>
      <c r="E45" s="633">
        <f>E28+E33+E34+E39+E40</f>
        <v>0</v>
      </c>
    </row>
    <row r="46" spans="1:8" ht="6" customHeight="1" hidden="1">
      <c r="A46" s="608"/>
      <c r="B46" s="638"/>
      <c r="C46" s="638"/>
      <c r="D46" s="639"/>
      <c r="E46" s="639"/>
      <c r="G46" s="62">
        <f>+' -'!$C$12</f>
      </c>
      <c r="H46" s="62"/>
    </row>
    <row r="47" spans="1:5" ht="13.5" customHeight="1" hidden="1">
      <c r="A47" s="607" t="s">
        <v>1404</v>
      </c>
      <c r="B47" s="51"/>
      <c r="C47" s="51"/>
      <c r="D47" s="608"/>
      <c r="E47" s="608"/>
    </row>
    <row r="48" spans="1:5" ht="13.5" customHeight="1" hidden="1">
      <c r="A48" s="609"/>
      <c r="B48" s="610"/>
      <c r="C48" s="611" t="s">
        <v>282</v>
      </c>
      <c r="D48" s="612" t="s">
        <v>2017</v>
      </c>
      <c r="E48" s="613"/>
    </row>
    <row r="49" spans="1:5" ht="13.5" customHeight="1" hidden="1">
      <c r="A49" s="614" t="s">
        <v>1612</v>
      </c>
      <c r="B49" s="615" t="s">
        <v>2016</v>
      </c>
      <c r="C49" s="615" t="s">
        <v>1191</v>
      </c>
      <c r="D49" s="610" t="str">
        <f>$D$7</f>
        <v>Текуща</v>
      </c>
      <c r="E49" s="610" t="str">
        <f>$E$7</f>
        <v>Предходна</v>
      </c>
    </row>
    <row r="50" spans="1:5" ht="13.5" customHeight="1" hidden="1">
      <c r="A50" s="617"/>
      <c r="B50" s="618"/>
      <c r="C50" s="618" t="s">
        <v>283</v>
      </c>
      <c r="D50" s="618" t="str">
        <f>$D$8</f>
        <v>година</v>
      </c>
      <c r="E50" s="618" t="str">
        <f>$E$8</f>
        <v>година</v>
      </c>
    </row>
    <row r="51" spans="1:5" ht="13.5" customHeight="1" hidden="1">
      <c r="A51" s="620" t="s">
        <v>1405</v>
      </c>
      <c r="B51" s="610" t="s">
        <v>1558</v>
      </c>
      <c r="C51" s="610" t="s">
        <v>284</v>
      </c>
      <c r="D51" s="615">
        <v>1</v>
      </c>
      <c r="E51" s="615">
        <v>2</v>
      </c>
    </row>
    <row r="52" spans="1:5" ht="13.5" customHeight="1" hidden="1">
      <c r="A52" s="621" t="s">
        <v>731</v>
      </c>
      <c r="B52" s="622" t="s">
        <v>732</v>
      </c>
      <c r="C52" s="622"/>
      <c r="D52" s="609"/>
      <c r="E52" s="609"/>
    </row>
    <row r="53" spans="1:5" ht="13.5" customHeight="1" hidden="1">
      <c r="A53" s="625">
        <v>1</v>
      </c>
      <c r="B53" s="626" t="s">
        <v>733</v>
      </c>
      <c r="C53" s="627" t="s">
        <v>300</v>
      </c>
      <c r="D53" s="1311">
        <f>Баланс!C30</f>
        <v>0</v>
      </c>
      <c r="E53" s="1311">
        <f>Баланс!D30</f>
        <v>0</v>
      </c>
    </row>
    <row r="54" spans="1:5" ht="13.5" customHeight="1" hidden="1">
      <c r="A54" s="620">
        <v>2</v>
      </c>
      <c r="B54" s="617" t="s">
        <v>734</v>
      </c>
      <c r="C54" s="627" t="s">
        <v>301</v>
      </c>
      <c r="D54" s="1312">
        <f>Баланс!C31</f>
        <v>0</v>
      </c>
      <c r="E54" s="1312">
        <f>Баланс!D31</f>
        <v>0</v>
      </c>
    </row>
    <row r="55" spans="1:5" ht="13.5" customHeight="1" hidden="1">
      <c r="A55" s="620"/>
      <c r="B55" s="637" t="s">
        <v>1047</v>
      </c>
      <c r="C55" s="632" t="s">
        <v>302</v>
      </c>
      <c r="D55" s="633">
        <f>SUM(D53:D54)</f>
        <v>0</v>
      </c>
      <c r="E55" s="633">
        <f>SUM(E53:E54)</f>
        <v>0</v>
      </c>
    </row>
    <row r="56" spans="1:5" ht="13.5" customHeight="1" hidden="1">
      <c r="A56" s="620" t="s">
        <v>735</v>
      </c>
      <c r="B56" s="629" t="s">
        <v>736</v>
      </c>
      <c r="C56" s="632" t="s">
        <v>961</v>
      </c>
      <c r="D56" s="1311">
        <f>Баланс!C53</f>
        <v>0</v>
      </c>
      <c r="E56" s="1311">
        <f>Баланс!D53</f>
        <v>0</v>
      </c>
    </row>
    <row r="57" spans="1:5" ht="13.5" customHeight="1" hidden="1">
      <c r="A57" s="620" t="s">
        <v>12</v>
      </c>
      <c r="B57" s="1313" t="s">
        <v>963</v>
      </c>
      <c r="C57" s="1322" t="s">
        <v>962</v>
      </c>
      <c r="D57" s="1311">
        <f>Баланс!C54</f>
        <v>0</v>
      </c>
      <c r="E57" s="1311">
        <f>Баланс!D54</f>
        <v>0</v>
      </c>
    </row>
    <row r="58" spans="1:5" ht="13.5" customHeight="1" hidden="1">
      <c r="A58" s="621"/>
      <c r="B58" s="635" t="s">
        <v>501</v>
      </c>
      <c r="C58" s="632" t="s">
        <v>1870</v>
      </c>
      <c r="D58" s="633">
        <f>D20+D26+D45+D55+D56+D57</f>
        <v>8680</v>
      </c>
      <c r="E58" s="633">
        <f>E20+E26+E45+E55+E56+E57</f>
        <v>6991</v>
      </c>
    </row>
    <row r="59" spans="1:5" ht="13.5" customHeight="1" hidden="1">
      <c r="A59" s="621" t="s">
        <v>737</v>
      </c>
      <c r="B59" s="609" t="s">
        <v>1872</v>
      </c>
      <c r="C59" s="640"/>
      <c r="D59" s="609"/>
      <c r="E59" s="609"/>
    </row>
    <row r="60" spans="1:5" ht="13.5" customHeight="1" hidden="1">
      <c r="A60" s="614" t="s">
        <v>738</v>
      </c>
      <c r="B60" s="624" t="s">
        <v>739</v>
      </c>
      <c r="C60" s="639"/>
      <c r="D60" s="624"/>
      <c r="E60" s="624"/>
    </row>
    <row r="61" spans="1:5" ht="13.5" customHeight="1" hidden="1">
      <c r="A61" s="625">
        <v>1</v>
      </c>
      <c r="B61" s="617" t="s">
        <v>1350</v>
      </c>
      <c r="C61" s="627" t="s">
        <v>1873</v>
      </c>
      <c r="D61" s="1311">
        <f>Баланс!C58</f>
        <v>1001</v>
      </c>
      <c r="E61" s="1311">
        <f>Баланс!D58</f>
        <v>990</v>
      </c>
    </row>
    <row r="62" spans="1:5" ht="13.5" customHeight="1" hidden="1">
      <c r="A62" s="625">
        <v>2</v>
      </c>
      <c r="B62" s="617" t="s">
        <v>1351</v>
      </c>
      <c r="C62" s="627" t="s">
        <v>1874</v>
      </c>
      <c r="D62" s="1311">
        <f>Баланс!C59</f>
        <v>6205</v>
      </c>
      <c r="E62" s="1311">
        <f>Баланс!D59</f>
        <v>5571</v>
      </c>
    </row>
    <row r="63" spans="1:5" ht="13.5" customHeight="1" hidden="1">
      <c r="A63" s="620">
        <v>3</v>
      </c>
      <c r="B63" s="629" t="s">
        <v>1355</v>
      </c>
      <c r="C63" s="627" t="s">
        <v>1875</v>
      </c>
      <c r="D63" s="1311">
        <f>Баланс!C60</f>
        <v>13</v>
      </c>
      <c r="E63" s="1311">
        <f>Баланс!D60</f>
        <v>11</v>
      </c>
    </row>
    <row r="64" spans="1:5" ht="13.5" customHeight="1" hidden="1">
      <c r="A64" s="620">
        <v>4</v>
      </c>
      <c r="B64" s="1323" t="s">
        <v>1877</v>
      </c>
      <c r="C64" s="1316" t="s">
        <v>1878</v>
      </c>
      <c r="D64" s="1311">
        <f>Баланс!C62</f>
        <v>0</v>
      </c>
      <c r="E64" s="1311">
        <f>Баланс!D62</f>
        <v>0</v>
      </c>
    </row>
    <row r="65" spans="1:5" ht="13.5" customHeight="1" hidden="1">
      <c r="A65" s="620">
        <v>5</v>
      </c>
      <c r="B65" s="1323" t="s">
        <v>1352</v>
      </c>
      <c r="C65" s="1316" t="s">
        <v>1882</v>
      </c>
      <c r="D65" s="1324">
        <v>0</v>
      </c>
      <c r="E65" s="1324">
        <v>0</v>
      </c>
    </row>
    <row r="66" spans="1:5" ht="13.5" customHeight="1" hidden="1">
      <c r="A66" s="620">
        <v>6</v>
      </c>
      <c r="B66" s="1323" t="s">
        <v>1353</v>
      </c>
      <c r="C66" s="1316" t="s">
        <v>1876</v>
      </c>
      <c r="D66" s="1311">
        <f>Баланс!C61</f>
        <v>0</v>
      </c>
      <c r="E66" s="1311">
        <f>Баланс!D61</f>
        <v>0</v>
      </c>
    </row>
    <row r="67" spans="1:5" ht="13.5" customHeight="1" hidden="1">
      <c r="A67" s="620">
        <v>7</v>
      </c>
      <c r="B67" s="1323" t="s">
        <v>1354</v>
      </c>
      <c r="C67" s="1316" t="s">
        <v>1879</v>
      </c>
      <c r="D67" s="1311">
        <f>Баланс!C63</f>
        <v>0</v>
      </c>
      <c r="E67" s="1311">
        <f>Баланс!D63</f>
        <v>0</v>
      </c>
    </row>
    <row r="68" spans="1:5" ht="13.5" customHeight="1" hidden="1">
      <c r="A68" s="620"/>
      <c r="B68" s="631" t="s">
        <v>854</v>
      </c>
      <c r="C68" s="632" t="s">
        <v>1880</v>
      </c>
      <c r="D68" s="633">
        <f>SUM(D61:D67)</f>
        <v>7219</v>
      </c>
      <c r="E68" s="633">
        <f>SUM(E61:E67)</f>
        <v>6572</v>
      </c>
    </row>
    <row r="69" spans="1:5" ht="13.5" customHeight="1" hidden="1">
      <c r="A69" s="621" t="s">
        <v>1356</v>
      </c>
      <c r="B69" s="622" t="s">
        <v>66</v>
      </c>
      <c r="C69" s="622"/>
      <c r="D69" s="609"/>
      <c r="E69" s="609"/>
    </row>
    <row r="70" spans="1:5" ht="13.5" customHeight="1" hidden="1">
      <c r="A70" s="625">
        <v>1</v>
      </c>
      <c r="B70" s="1325" t="s">
        <v>67</v>
      </c>
      <c r="C70" s="1316" t="s">
        <v>1881</v>
      </c>
      <c r="D70" s="1311">
        <f>Баланс!C67</f>
        <v>3936</v>
      </c>
      <c r="E70" s="1311">
        <f>Баланс!D67</f>
        <v>3542</v>
      </c>
    </row>
    <row r="71" spans="1:5" ht="13.5" customHeight="1" hidden="1">
      <c r="A71" s="620">
        <v>2</v>
      </c>
      <c r="B71" s="617" t="s">
        <v>1836</v>
      </c>
      <c r="C71" s="627" t="s">
        <v>1883</v>
      </c>
      <c r="D71" s="1311">
        <f>Баланс!C68</f>
        <v>1169</v>
      </c>
      <c r="E71" s="1311">
        <f>Баланс!D68</f>
        <v>1495</v>
      </c>
    </row>
    <row r="72" spans="1:5" ht="13.5" customHeight="1" hidden="1">
      <c r="A72" s="620">
        <v>3</v>
      </c>
      <c r="B72" s="629" t="s">
        <v>1837</v>
      </c>
      <c r="C72" s="627" t="s">
        <v>1884</v>
      </c>
      <c r="D72" s="1311">
        <f>Баланс!C70</f>
        <v>0</v>
      </c>
      <c r="E72" s="1311">
        <f>Баланс!D70</f>
        <v>0</v>
      </c>
    </row>
    <row r="73" spans="1:5" ht="13.5" customHeight="1" hidden="1">
      <c r="A73" s="620">
        <v>4</v>
      </c>
      <c r="B73" s="629" t="s">
        <v>1838</v>
      </c>
      <c r="C73" s="627" t="s">
        <v>1885</v>
      </c>
      <c r="D73" s="1311">
        <f>Баланс!C71</f>
        <v>157</v>
      </c>
      <c r="E73" s="1311">
        <f>Баланс!D71</f>
        <v>146</v>
      </c>
    </row>
    <row r="74" spans="1:5" ht="13.5" customHeight="1" hidden="1">
      <c r="A74" s="620">
        <v>5</v>
      </c>
      <c r="B74" s="629" t="s">
        <v>1839</v>
      </c>
      <c r="C74" s="627" t="s">
        <v>1886</v>
      </c>
      <c r="D74" s="1311">
        <f>Баланс!C72</f>
        <v>33</v>
      </c>
      <c r="E74" s="1311">
        <f>Баланс!D72</f>
        <v>18</v>
      </c>
    </row>
    <row r="75" spans="1:5" ht="13.5" customHeight="1" hidden="1">
      <c r="A75" s="620">
        <v>6</v>
      </c>
      <c r="B75" s="1323" t="s">
        <v>1840</v>
      </c>
      <c r="C75" s="1316" t="s">
        <v>2110</v>
      </c>
      <c r="D75" s="1311">
        <f>Баланс!C69+Баланс!C73+Баланс!C74</f>
        <v>146</v>
      </c>
      <c r="E75" s="1311">
        <f>Баланс!D69+Баланс!D73+Баланс!D74</f>
        <v>293</v>
      </c>
    </row>
    <row r="76" spans="1:5" ht="13.5" customHeight="1" hidden="1">
      <c r="A76" s="620"/>
      <c r="B76" s="641" t="s">
        <v>39</v>
      </c>
      <c r="C76" s="642" t="s">
        <v>2100</v>
      </c>
      <c r="D76" s="1311">
        <f>Баланс!C69</f>
        <v>134</v>
      </c>
      <c r="E76" s="1311">
        <f>Баланс!D69</f>
        <v>290</v>
      </c>
    </row>
    <row r="77" spans="1:5" ht="13.5" customHeight="1" hidden="1">
      <c r="A77" s="620"/>
      <c r="B77" s="643" t="s">
        <v>40</v>
      </c>
      <c r="C77" s="642" t="s">
        <v>2108</v>
      </c>
      <c r="D77" s="1311">
        <f>Баланс!C73</f>
        <v>0</v>
      </c>
      <c r="E77" s="1311">
        <f>Баланс!D73</f>
        <v>0</v>
      </c>
    </row>
    <row r="78" spans="1:5" ht="13.5" customHeight="1" hidden="1">
      <c r="A78" s="620"/>
      <c r="B78" s="635" t="s">
        <v>2202</v>
      </c>
      <c r="C78" s="632" t="s">
        <v>1887</v>
      </c>
      <c r="D78" s="633">
        <f>SUM(D70:D75)</f>
        <v>5441</v>
      </c>
      <c r="E78" s="633">
        <f>SUM(E70:E75)</f>
        <v>5494</v>
      </c>
    </row>
    <row r="79" spans="1:5" ht="13.5" customHeight="1" hidden="1">
      <c r="A79" s="621" t="s">
        <v>1357</v>
      </c>
      <c r="B79" s="622" t="s">
        <v>1841</v>
      </c>
      <c r="C79" s="629"/>
      <c r="D79" s="629"/>
      <c r="E79" s="629"/>
    </row>
    <row r="80" spans="1:5" ht="13.5" customHeight="1" hidden="1">
      <c r="A80" s="625">
        <v>1</v>
      </c>
      <c r="B80" s="629" t="s">
        <v>1888</v>
      </c>
      <c r="C80" s="642" t="s">
        <v>2119</v>
      </c>
      <c r="D80" s="633">
        <f>D81+D82+D83</f>
        <v>0</v>
      </c>
      <c r="E80" s="633">
        <f>E81+E82+E83</f>
        <v>0</v>
      </c>
    </row>
    <row r="81" spans="1:5" ht="13.5" customHeight="1" hidden="1">
      <c r="A81" s="625"/>
      <c r="B81" s="641" t="s">
        <v>52</v>
      </c>
      <c r="C81" s="642" t="s">
        <v>2121</v>
      </c>
      <c r="D81" s="1311">
        <f>Баланс!C79</f>
        <v>0</v>
      </c>
      <c r="E81" s="1311">
        <f>Баланс!D79</f>
        <v>0</v>
      </c>
    </row>
    <row r="82" spans="1:5" ht="13.5" customHeight="1" hidden="1">
      <c r="A82" s="625"/>
      <c r="B82" s="643" t="s">
        <v>49</v>
      </c>
      <c r="C82" s="642" t="s">
        <v>2125</v>
      </c>
      <c r="D82" s="1311">
        <f>Баланс!C80</f>
        <v>0</v>
      </c>
      <c r="E82" s="1311">
        <f>Баланс!D80</f>
        <v>0</v>
      </c>
    </row>
    <row r="83" spans="1:5" ht="13.5" customHeight="1" hidden="1">
      <c r="A83" s="625"/>
      <c r="B83" s="643" t="s">
        <v>228</v>
      </c>
      <c r="C83" s="642" t="s">
        <v>2127</v>
      </c>
      <c r="D83" s="1311">
        <f>Баланс!C81</f>
        <v>0</v>
      </c>
      <c r="E83" s="1311">
        <f>Баланс!D81</f>
        <v>0</v>
      </c>
    </row>
    <row r="84" spans="1:5" ht="13.5" customHeight="1" hidden="1">
      <c r="A84" s="625">
        <v>3</v>
      </c>
      <c r="B84" s="629" t="s">
        <v>1889</v>
      </c>
      <c r="C84" s="642" t="s">
        <v>1890</v>
      </c>
      <c r="D84" s="1311">
        <f>Баланс!C82</f>
        <v>0</v>
      </c>
      <c r="E84" s="1311">
        <f>Баланс!D82</f>
        <v>0</v>
      </c>
    </row>
    <row r="85" spans="1:6" ht="13.5" customHeight="1" hidden="1">
      <c r="A85" s="620">
        <v>4</v>
      </c>
      <c r="B85" s="617" t="s">
        <v>1842</v>
      </c>
      <c r="C85" s="642" t="s">
        <v>50</v>
      </c>
      <c r="D85" s="1326">
        <v>0</v>
      </c>
      <c r="E85" s="1326">
        <v>0</v>
      </c>
      <c r="F85" s="63"/>
    </row>
    <row r="86" spans="1:5" ht="13.5" customHeight="1" hidden="1">
      <c r="A86" s="620">
        <v>5</v>
      </c>
      <c r="B86" s="629" t="s">
        <v>1843</v>
      </c>
      <c r="C86" s="642" t="s">
        <v>51</v>
      </c>
      <c r="D86" s="1324">
        <v>0</v>
      </c>
      <c r="E86" s="1324">
        <v>0</v>
      </c>
    </row>
    <row r="87" spans="1:5" ht="13.5" customHeight="1" hidden="1">
      <c r="A87" s="620">
        <v>6</v>
      </c>
      <c r="B87" s="1323" t="s">
        <v>1844</v>
      </c>
      <c r="C87" s="630" t="s">
        <v>1891</v>
      </c>
      <c r="D87" s="1311">
        <f>Баланс!C83</f>
        <v>0</v>
      </c>
      <c r="E87" s="1311">
        <f>Баланс!D83</f>
        <v>0</v>
      </c>
    </row>
    <row r="88" spans="1:5" ht="13.5" customHeight="1" hidden="1">
      <c r="A88" s="644"/>
      <c r="B88" s="635" t="s">
        <v>500</v>
      </c>
      <c r="C88" s="632" t="s">
        <v>1892</v>
      </c>
      <c r="D88" s="633">
        <f>SUM(D80:D87)-D81-D82-D83</f>
        <v>0</v>
      </c>
      <c r="E88" s="633">
        <f>SUM(E80:E87)-E81-E82-E83</f>
        <v>0</v>
      </c>
    </row>
    <row r="89" spans="1:5" ht="13.5" customHeight="1" hidden="1">
      <c r="A89" s="621" t="s">
        <v>731</v>
      </c>
      <c r="B89" s="622" t="s">
        <v>169</v>
      </c>
      <c r="C89" s="622"/>
      <c r="D89" s="609"/>
      <c r="E89" s="609"/>
    </row>
    <row r="90" spans="1:5" ht="13.5" customHeight="1" hidden="1">
      <c r="A90" s="625">
        <v>1</v>
      </c>
      <c r="B90" s="626" t="s">
        <v>1845</v>
      </c>
      <c r="C90" s="627" t="s">
        <v>1893</v>
      </c>
      <c r="D90" s="1311">
        <f>Баланс!C87</f>
        <v>93</v>
      </c>
      <c r="E90" s="1311">
        <f>Баланс!D87</f>
        <v>38</v>
      </c>
    </row>
    <row r="91" spans="1:5" ht="13.5" customHeight="1" hidden="1">
      <c r="A91" s="620">
        <v>2</v>
      </c>
      <c r="B91" s="617" t="s">
        <v>1846</v>
      </c>
      <c r="C91" s="627" t="s">
        <v>1894</v>
      </c>
      <c r="D91" s="1311">
        <f>Баланс!C88</f>
        <v>32</v>
      </c>
      <c r="E91" s="1311">
        <f>Баланс!D88</f>
        <v>201</v>
      </c>
    </row>
    <row r="92" spans="1:5" ht="13.5" customHeight="1" hidden="1">
      <c r="A92" s="620">
        <v>3</v>
      </c>
      <c r="B92" s="629" t="s">
        <v>1847</v>
      </c>
      <c r="C92" s="627" t="s">
        <v>1895</v>
      </c>
      <c r="D92" s="1311">
        <f>Баланс!C89</f>
        <v>0</v>
      </c>
      <c r="E92" s="1311">
        <f>Баланс!D89</f>
        <v>0</v>
      </c>
    </row>
    <row r="93" spans="1:5" ht="13.5" customHeight="1" hidden="1">
      <c r="A93" s="620">
        <v>4</v>
      </c>
      <c r="B93" s="1323" t="s">
        <v>1848</v>
      </c>
      <c r="C93" s="1316" t="s">
        <v>1896</v>
      </c>
      <c r="D93" s="1311">
        <f>Баланс!C90</f>
        <v>0</v>
      </c>
      <c r="E93" s="1311">
        <f>Баланс!D90</f>
        <v>0</v>
      </c>
    </row>
    <row r="94" spans="1:6" ht="13.5" customHeight="1" hidden="1">
      <c r="A94" s="620">
        <v>5</v>
      </c>
      <c r="B94" s="1323" t="s">
        <v>1849</v>
      </c>
      <c r="C94" s="630"/>
      <c r="D94" s="1324">
        <v>0</v>
      </c>
      <c r="E94" s="1324">
        <v>0</v>
      </c>
      <c r="F94" s="63"/>
    </row>
    <row r="95" spans="1:5" ht="13.5" customHeight="1" hidden="1">
      <c r="A95" s="620"/>
      <c r="B95" s="637" t="s">
        <v>1047</v>
      </c>
      <c r="C95" s="632" t="s">
        <v>1897</v>
      </c>
      <c r="D95" s="633">
        <f>SUM(D90:D94)</f>
        <v>125</v>
      </c>
      <c r="E95" s="633">
        <f>SUM(E90:E94)</f>
        <v>239</v>
      </c>
    </row>
    <row r="96" spans="1:5" ht="13.5" customHeight="1" hidden="1">
      <c r="A96" s="620" t="s">
        <v>735</v>
      </c>
      <c r="B96" s="629" t="s">
        <v>736</v>
      </c>
      <c r="C96" s="632" t="s">
        <v>1898</v>
      </c>
      <c r="D96" s="1311">
        <f>Баланс!C92</f>
        <v>24</v>
      </c>
      <c r="E96" s="1311">
        <f>Баланс!D92</f>
        <v>21</v>
      </c>
    </row>
    <row r="97" spans="1:5" ht="13.5" customHeight="1" hidden="1">
      <c r="A97" s="620"/>
      <c r="B97" s="635" t="s">
        <v>1048</v>
      </c>
      <c r="C97" s="632" t="s">
        <v>1900</v>
      </c>
      <c r="D97" s="633">
        <f>D68+D78+D88+D95+D96</f>
        <v>12809</v>
      </c>
      <c r="E97" s="633">
        <f>E68+E78+E88+E95+E96</f>
        <v>12326</v>
      </c>
    </row>
    <row r="98" spans="1:6" ht="13.5" customHeight="1" hidden="1">
      <c r="A98" s="620"/>
      <c r="B98" s="645" t="s">
        <v>1403</v>
      </c>
      <c r="C98" s="632" t="s">
        <v>1899</v>
      </c>
      <c r="D98" s="633">
        <f>D58+D97</f>
        <v>21489</v>
      </c>
      <c r="E98" s="633">
        <f>E58+E97</f>
        <v>19317</v>
      </c>
      <c r="F98" s="91"/>
    </row>
    <row r="99" spans="1:5" ht="13.5" customHeight="1" hidden="1">
      <c r="A99" s="620" t="s">
        <v>1850</v>
      </c>
      <c r="B99" s="646" t="s">
        <v>1851</v>
      </c>
      <c r="C99" s="630"/>
      <c r="D99" s="1324">
        <v>0</v>
      </c>
      <c r="E99" s="1324">
        <v>0</v>
      </c>
    </row>
    <row r="100" spans="1:9" ht="3" customHeight="1" hidden="1">
      <c r="A100" s="608"/>
      <c r="B100" s="647"/>
      <c r="C100" s="647"/>
      <c r="D100" s="639"/>
      <c r="E100" s="639"/>
      <c r="G100" s="62">
        <f>+' -'!$B$11</f>
      </c>
      <c r="H100" s="62"/>
      <c r="I100" t="s">
        <v>1151</v>
      </c>
    </row>
    <row r="101" spans="1:5" ht="18" customHeight="1" hidden="1">
      <c r="A101" s="608"/>
      <c r="B101" s="647"/>
      <c r="C101" s="647"/>
      <c r="D101" s="639"/>
      <c r="E101" s="648" t="s">
        <v>1407</v>
      </c>
    </row>
    <row r="102" spans="1:5" ht="16.5" customHeight="1" hidden="1">
      <c r="A102" s="609"/>
      <c r="B102" s="610"/>
      <c r="C102" s="611" t="s">
        <v>282</v>
      </c>
      <c r="D102" s="612" t="s">
        <v>2017</v>
      </c>
      <c r="E102" s="613"/>
    </row>
    <row r="103" spans="1:5" ht="16.5" customHeight="1" hidden="1">
      <c r="A103" s="614" t="s">
        <v>1612</v>
      </c>
      <c r="B103" s="615" t="s">
        <v>2016</v>
      </c>
      <c r="C103" s="615" t="s">
        <v>1191</v>
      </c>
      <c r="D103" s="610" t="str">
        <f>$D$7</f>
        <v>Текуща</v>
      </c>
      <c r="E103" s="610" t="str">
        <f>$E$7</f>
        <v>Предходна</v>
      </c>
    </row>
    <row r="104" spans="1:5" ht="16.5" customHeight="1" hidden="1">
      <c r="A104" s="617"/>
      <c r="B104" s="618"/>
      <c r="C104" s="618" t="s">
        <v>283</v>
      </c>
      <c r="D104" s="618" t="str">
        <f>$D$8</f>
        <v>година</v>
      </c>
      <c r="E104" s="618" t="str">
        <f>$E$8</f>
        <v>година</v>
      </c>
    </row>
    <row r="105" spans="1:5" ht="16.5" customHeight="1" hidden="1">
      <c r="A105" s="620" t="s">
        <v>1405</v>
      </c>
      <c r="B105" s="610" t="s">
        <v>1558</v>
      </c>
      <c r="C105" s="610" t="s">
        <v>284</v>
      </c>
      <c r="D105" s="615">
        <v>1</v>
      </c>
      <c r="E105" s="615">
        <v>2</v>
      </c>
    </row>
    <row r="106" spans="1:5" ht="16.5" customHeight="1" hidden="1">
      <c r="A106" s="621" t="s">
        <v>1855</v>
      </c>
      <c r="B106" s="649" t="s">
        <v>1852</v>
      </c>
      <c r="C106" s="649"/>
      <c r="D106" s="609"/>
      <c r="E106" s="609"/>
    </row>
    <row r="107" spans="1:5" ht="16.5" customHeight="1" hidden="1">
      <c r="A107" s="614" t="s">
        <v>738</v>
      </c>
      <c r="B107" s="624" t="s">
        <v>1853</v>
      </c>
      <c r="C107" s="624"/>
      <c r="D107" s="624"/>
      <c r="E107" s="624"/>
    </row>
    <row r="108" spans="1:5" ht="16.5" customHeight="1" hidden="1">
      <c r="A108" s="625">
        <v>1</v>
      </c>
      <c r="B108" s="650" t="s">
        <v>1270</v>
      </c>
      <c r="C108" s="651" t="s">
        <v>1271</v>
      </c>
      <c r="D108" s="1311">
        <f>Баланс!G11</f>
        <v>10017</v>
      </c>
      <c r="E108" s="1311">
        <f>Баланс!H11</f>
        <v>10017</v>
      </c>
    </row>
    <row r="109" spans="1:5" ht="16.5" customHeight="1" hidden="1">
      <c r="A109" s="625"/>
      <c r="B109" s="646" t="s">
        <v>1272</v>
      </c>
      <c r="C109" s="651" t="s">
        <v>1273</v>
      </c>
      <c r="D109" s="1311">
        <f>Баланс!G12</f>
        <v>10017</v>
      </c>
      <c r="E109" s="1311">
        <f>Баланс!H12</f>
        <v>10017</v>
      </c>
    </row>
    <row r="110" spans="1:5" ht="16.5" customHeight="1" hidden="1">
      <c r="A110" s="625"/>
      <c r="B110" s="646" t="s">
        <v>1274</v>
      </c>
      <c r="C110" s="651" t="s">
        <v>1275</v>
      </c>
      <c r="D110" s="1311">
        <f>Баланс!G13</f>
        <v>0</v>
      </c>
      <c r="E110" s="1311">
        <f>Баланс!H13</f>
        <v>0</v>
      </c>
    </row>
    <row r="111" spans="1:5" ht="16.5" customHeight="1" hidden="1">
      <c r="A111" s="620">
        <v>2</v>
      </c>
      <c r="B111" s="649" t="s">
        <v>1854</v>
      </c>
      <c r="C111" s="636" t="s">
        <v>1902</v>
      </c>
      <c r="D111" s="1311">
        <f>Баланс!G16</f>
        <v>0</v>
      </c>
      <c r="E111" s="1311">
        <f>Баланс!H16</f>
        <v>0</v>
      </c>
    </row>
    <row r="112" spans="1:5" ht="16.5" customHeight="1" hidden="1">
      <c r="A112" s="620">
        <v>3</v>
      </c>
      <c r="B112" s="652" t="s">
        <v>1904</v>
      </c>
      <c r="C112" s="653" t="s">
        <v>1901</v>
      </c>
      <c r="D112" s="1311">
        <f>Баланс!G14</f>
        <v>0</v>
      </c>
      <c r="E112" s="1311">
        <f>Баланс!H14</f>
        <v>0</v>
      </c>
    </row>
    <row r="113" spans="1:6" ht="16.5" customHeight="1" hidden="1">
      <c r="A113" s="620">
        <v>4</v>
      </c>
      <c r="B113" s="652" t="s">
        <v>1905</v>
      </c>
      <c r="C113" s="653" t="s">
        <v>1906</v>
      </c>
      <c r="D113" s="1311">
        <f>Баланс!G15</f>
        <v>0</v>
      </c>
      <c r="E113" s="1311">
        <f>Баланс!H15</f>
        <v>0</v>
      </c>
      <c r="F113" s="63"/>
    </row>
    <row r="114" spans="1:5" ht="16.5" customHeight="1" hidden="1">
      <c r="A114" s="629"/>
      <c r="B114" s="635" t="s">
        <v>854</v>
      </c>
      <c r="C114" s="632" t="s">
        <v>1903</v>
      </c>
      <c r="D114" s="633">
        <f>SUM(D108:D113)-D109-D110</f>
        <v>10017</v>
      </c>
      <c r="E114" s="633">
        <f>SUM(E108:E113)-E109-E110</f>
        <v>10017</v>
      </c>
    </row>
    <row r="115" spans="1:5" ht="16.5" customHeight="1" hidden="1">
      <c r="A115" s="614" t="s">
        <v>1356</v>
      </c>
      <c r="B115" s="609" t="s">
        <v>1856</v>
      </c>
      <c r="C115" s="609"/>
      <c r="D115" s="609"/>
      <c r="E115" s="609"/>
    </row>
    <row r="116" spans="1:5" ht="16.5" customHeight="1" hidden="1">
      <c r="A116" s="625">
        <v>1</v>
      </c>
      <c r="B116" s="654" t="s">
        <v>1858</v>
      </c>
      <c r="C116" s="653" t="s">
        <v>1907</v>
      </c>
      <c r="D116" s="1311">
        <f>Баланс!G19</f>
        <v>0</v>
      </c>
      <c r="E116" s="1311">
        <f>Баланс!H19</f>
        <v>0</v>
      </c>
    </row>
    <row r="117" spans="1:5" ht="16.5" customHeight="1" hidden="1">
      <c r="A117" s="620">
        <v>2</v>
      </c>
      <c r="B117" s="650" t="s">
        <v>1857</v>
      </c>
      <c r="C117" s="653" t="s">
        <v>1908</v>
      </c>
      <c r="D117" s="1311">
        <f>Баланс!G20</f>
        <v>2867</v>
      </c>
      <c r="E117" s="1311">
        <f>Баланс!H20</f>
        <v>2921</v>
      </c>
    </row>
    <row r="118" spans="1:5" ht="16.5" customHeight="1" hidden="1">
      <c r="A118" s="620">
        <v>3</v>
      </c>
      <c r="B118" s="649" t="s">
        <v>1859</v>
      </c>
      <c r="C118" s="653" t="s">
        <v>1909</v>
      </c>
      <c r="D118" s="633">
        <f>SUM(D119:D121)</f>
        <v>853</v>
      </c>
      <c r="E118" s="633">
        <f>SUM(E119:E121)</f>
        <v>389</v>
      </c>
    </row>
    <row r="119" spans="1:5" ht="16.5" customHeight="1" hidden="1">
      <c r="A119" s="629"/>
      <c r="B119" s="629" t="s">
        <v>1416</v>
      </c>
      <c r="C119" s="653" t="s">
        <v>1910</v>
      </c>
      <c r="D119" s="1311">
        <f>Баланс!G22</f>
        <v>853</v>
      </c>
      <c r="E119" s="1311">
        <f>Баланс!H22</f>
        <v>389</v>
      </c>
    </row>
    <row r="120" spans="1:5" ht="16.5" customHeight="1" hidden="1">
      <c r="A120" s="629"/>
      <c r="B120" s="1327" t="s">
        <v>1417</v>
      </c>
      <c r="C120" s="1328" t="s">
        <v>1911</v>
      </c>
      <c r="D120" s="1311">
        <f>Баланс!G23</f>
        <v>0</v>
      </c>
      <c r="E120" s="1311">
        <f>Баланс!H23</f>
        <v>0</v>
      </c>
    </row>
    <row r="121" spans="1:5" ht="16.5" customHeight="1" hidden="1">
      <c r="A121" s="629"/>
      <c r="B121" s="1327" t="s">
        <v>1418</v>
      </c>
      <c r="C121" s="1328" t="s">
        <v>1912</v>
      </c>
      <c r="D121" s="1311">
        <f>Баланс!G24</f>
        <v>0</v>
      </c>
      <c r="E121" s="1311">
        <f>Баланс!H24</f>
        <v>0</v>
      </c>
    </row>
    <row r="122" spans="1:6" ht="16.5" customHeight="1" hidden="1">
      <c r="A122" s="629"/>
      <c r="B122" s="635" t="s">
        <v>2202</v>
      </c>
      <c r="C122" s="632" t="s">
        <v>1913</v>
      </c>
      <c r="D122" s="633">
        <f>IF(' -'!$B$21=1,SUM(D116:D118),' -'!$B$21)</f>
        <v>3720</v>
      </c>
      <c r="E122" s="633">
        <f>SUM(E116:E118)</f>
        <v>3310</v>
      </c>
      <c r="F122" s="91"/>
    </row>
    <row r="123" spans="1:5" ht="16.5" customHeight="1" hidden="1">
      <c r="A123" s="614" t="s">
        <v>1357</v>
      </c>
      <c r="B123" s="622" t="s">
        <v>1860</v>
      </c>
      <c r="C123" s="622"/>
      <c r="D123" s="609"/>
      <c r="E123" s="609"/>
    </row>
    <row r="124" spans="1:5" ht="16.5" customHeight="1" hidden="1">
      <c r="A124" s="625">
        <v>1</v>
      </c>
      <c r="B124" s="656" t="s">
        <v>1861</v>
      </c>
      <c r="C124" s="653" t="s">
        <v>1914</v>
      </c>
      <c r="D124" s="633">
        <f>SUM(D125:D127)</f>
        <v>0</v>
      </c>
      <c r="E124" s="633">
        <f>SUM(E125:E127)</f>
        <v>0</v>
      </c>
    </row>
    <row r="125" spans="1:5" ht="16.5" customHeight="1" hidden="1">
      <c r="A125" s="657"/>
      <c r="B125" s="617" t="s">
        <v>1919</v>
      </c>
      <c r="C125" s="653" t="s">
        <v>1915</v>
      </c>
      <c r="D125" s="1311">
        <f>Баланс!G28</f>
        <v>0</v>
      </c>
      <c r="E125" s="1311">
        <f>Баланс!H28</f>
        <v>0</v>
      </c>
    </row>
    <row r="126" spans="1:6" ht="16.5" customHeight="1" hidden="1">
      <c r="A126" s="657"/>
      <c r="B126" s="649" t="s">
        <v>1918</v>
      </c>
      <c r="C126" s="653" t="s">
        <v>1916</v>
      </c>
      <c r="D126" s="1312">
        <f>Баланс!G29</f>
        <v>0</v>
      </c>
      <c r="E126" s="1312">
        <f>Баланс!H29</f>
        <v>0</v>
      </c>
      <c r="F126" s="63"/>
    </row>
    <row r="127" spans="1:6" ht="16.5" customHeight="1" hidden="1">
      <c r="A127" s="657"/>
      <c r="B127" s="658" t="s">
        <v>1917</v>
      </c>
      <c r="C127" s="659" t="s">
        <v>1920</v>
      </c>
      <c r="D127" s="1312">
        <f>Баланс!G30</f>
        <v>0</v>
      </c>
      <c r="E127" s="1312">
        <f>Баланс!H30</f>
        <v>0</v>
      </c>
      <c r="F127" s="63"/>
    </row>
    <row r="128" spans="1:5" ht="16.5" customHeight="1" hidden="1">
      <c r="A128" s="620">
        <v>2</v>
      </c>
      <c r="B128" s="649" t="s">
        <v>1862</v>
      </c>
      <c r="C128" s="659" t="s">
        <v>1921</v>
      </c>
      <c r="D128" s="1312">
        <f>Баланс!G31+Баланс!G32</f>
        <v>103</v>
      </c>
      <c r="E128" s="1312">
        <f>Баланс!H31+Баланс!H32</f>
        <v>425</v>
      </c>
    </row>
    <row r="129" spans="1:5" ht="16.5" customHeight="1" hidden="1">
      <c r="A129" s="657"/>
      <c r="B129" s="637" t="s">
        <v>500</v>
      </c>
      <c r="C129" s="632" t="s">
        <v>1922</v>
      </c>
      <c r="D129" s="633">
        <f>D124+D128</f>
        <v>103</v>
      </c>
      <c r="E129" s="633">
        <f>E124+E128</f>
        <v>425</v>
      </c>
    </row>
    <row r="130" spans="1:5" ht="16.5" customHeight="1" hidden="1">
      <c r="A130" s="657"/>
      <c r="B130" s="635" t="s">
        <v>501</v>
      </c>
      <c r="C130" s="632" t="s">
        <v>1923</v>
      </c>
      <c r="D130" s="633">
        <f>D114+D122+D129</f>
        <v>13840</v>
      </c>
      <c r="E130" s="633">
        <f>E114+E122+E129</f>
        <v>13752</v>
      </c>
    </row>
    <row r="131" spans="1:6" ht="16.5" customHeight="1" hidden="1">
      <c r="A131" s="621" t="s">
        <v>737</v>
      </c>
      <c r="B131" s="660" t="s">
        <v>1926</v>
      </c>
      <c r="C131" s="632" t="s">
        <v>1927</v>
      </c>
      <c r="D131" s="1311">
        <f>Баланс!G39</f>
        <v>0</v>
      </c>
      <c r="E131" s="1311">
        <f>Баланс!H39</f>
        <v>0</v>
      </c>
      <c r="F131" s="64"/>
    </row>
    <row r="132" spans="1:5" ht="16.5" customHeight="1" hidden="1">
      <c r="A132" s="621" t="s">
        <v>256</v>
      </c>
      <c r="B132" s="660" t="s">
        <v>1924</v>
      </c>
      <c r="C132" s="660"/>
      <c r="D132" s="609"/>
      <c r="E132" s="609"/>
    </row>
    <row r="133" spans="1:5" ht="16.5" customHeight="1" hidden="1">
      <c r="A133" s="614" t="s">
        <v>738</v>
      </c>
      <c r="B133" s="623" t="s">
        <v>249</v>
      </c>
      <c r="C133" s="623"/>
      <c r="D133" s="624"/>
      <c r="E133" s="624"/>
    </row>
    <row r="134" spans="1:5" ht="16.5" customHeight="1" hidden="1">
      <c r="A134" s="625">
        <v>1</v>
      </c>
      <c r="B134" s="661" t="s">
        <v>250</v>
      </c>
      <c r="C134" s="653" t="s">
        <v>1925</v>
      </c>
      <c r="D134" s="1311">
        <f>Баланс!G43</f>
        <v>0</v>
      </c>
      <c r="E134" s="1311">
        <f>Баланс!H43</f>
        <v>0</v>
      </c>
    </row>
    <row r="135" spans="1:5" ht="16.5" customHeight="1" hidden="1">
      <c r="A135" s="620">
        <v>2</v>
      </c>
      <c r="B135" s="617" t="s">
        <v>251</v>
      </c>
      <c r="C135" s="653" t="s">
        <v>1929</v>
      </c>
      <c r="D135" s="1311">
        <f>Баланс!G44+Баланс!G45</f>
        <v>5556</v>
      </c>
      <c r="E135" s="1311">
        <f>Баланс!H44+Баланс!H45</f>
        <v>3203</v>
      </c>
    </row>
    <row r="136" spans="1:5" ht="16.5" customHeight="1" hidden="1">
      <c r="A136" s="620"/>
      <c r="B136" s="629" t="s">
        <v>1683</v>
      </c>
      <c r="C136" s="653" t="s">
        <v>1990</v>
      </c>
      <c r="D136" s="1311">
        <f>Баланс!G45</f>
        <v>0</v>
      </c>
      <c r="E136" s="1311">
        <f>Баланс!H45</f>
        <v>0</v>
      </c>
    </row>
    <row r="137" spans="1:5" ht="16.5" customHeight="1" hidden="1">
      <c r="A137" s="620">
        <v>3</v>
      </c>
      <c r="B137" s="629" t="s">
        <v>252</v>
      </c>
      <c r="C137" s="653" t="s">
        <v>1930</v>
      </c>
      <c r="D137" s="1311">
        <f>Баланс!G46</f>
        <v>0</v>
      </c>
      <c r="E137" s="1311">
        <f>Баланс!H46</f>
        <v>0</v>
      </c>
    </row>
    <row r="138" spans="1:5" ht="16.5" customHeight="1" hidden="1">
      <c r="A138" s="620">
        <v>4</v>
      </c>
      <c r="B138" s="1313" t="s">
        <v>253</v>
      </c>
      <c r="C138" s="1328" t="s">
        <v>1931</v>
      </c>
      <c r="D138" s="1311">
        <f>Баланс!G47</f>
        <v>0</v>
      </c>
      <c r="E138" s="1311">
        <f>Баланс!H47</f>
        <v>0</v>
      </c>
    </row>
    <row r="139" spans="1:6" ht="16.5" customHeight="1" hidden="1">
      <c r="A139" s="620">
        <v>5</v>
      </c>
      <c r="B139" s="1313" t="s">
        <v>1684</v>
      </c>
      <c r="C139" s="1328" t="s">
        <v>2272</v>
      </c>
      <c r="D139" s="1311">
        <f>Баланс!G53</f>
        <v>192</v>
      </c>
      <c r="E139" s="1311">
        <f>Баланс!H53</f>
        <v>196</v>
      </c>
      <c r="F139" s="574"/>
    </row>
    <row r="140" spans="1:5" ht="16.5" customHeight="1" hidden="1">
      <c r="A140" s="620">
        <v>6</v>
      </c>
      <c r="B140" s="1313" t="s">
        <v>254</v>
      </c>
      <c r="C140" s="1328" t="s">
        <v>1932</v>
      </c>
      <c r="D140" s="1311">
        <f>Баланс!G48</f>
        <v>97</v>
      </c>
      <c r="E140" s="1311">
        <f>Баланс!H48</f>
        <v>79</v>
      </c>
    </row>
    <row r="141" spans="1:5" ht="16.5" customHeight="1" hidden="1">
      <c r="A141" s="620"/>
      <c r="B141" s="637" t="s">
        <v>854</v>
      </c>
      <c r="C141" s="632" t="s">
        <v>1933</v>
      </c>
      <c r="D141" s="633">
        <f>SUM(D134:D140)-D136</f>
        <v>5845</v>
      </c>
      <c r="E141" s="633">
        <f>SUM(E134:E140)-E136</f>
        <v>3478</v>
      </c>
    </row>
    <row r="142" spans="1:6" ht="16.5" customHeight="1" hidden="1">
      <c r="A142" s="620" t="s">
        <v>1356</v>
      </c>
      <c r="B142" s="629" t="s">
        <v>972</v>
      </c>
      <c r="C142" s="662" t="s">
        <v>971</v>
      </c>
      <c r="D142" s="628">
        <f>Баланс!G51</f>
        <v>0</v>
      </c>
      <c r="E142" s="628">
        <f>Баланс!H51</f>
        <v>0</v>
      </c>
      <c r="F142" s="64"/>
    </row>
    <row r="143" spans="1:6" ht="16.5" customHeight="1" hidden="1">
      <c r="A143" s="620" t="s">
        <v>1357</v>
      </c>
      <c r="B143" s="629" t="s">
        <v>255</v>
      </c>
      <c r="C143" s="662" t="s">
        <v>1934</v>
      </c>
      <c r="D143" s="1311">
        <f>Баланс!G52+Баланс!G54</f>
        <v>0</v>
      </c>
      <c r="E143" s="1311">
        <f>Баланс!H52+Баланс!H54</f>
        <v>0</v>
      </c>
      <c r="F143" s="574"/>
    </row>
    <row r="144" spans="1:5" ht="16.5" customHeight="1" hidden="1">
      <c r="A144" s="620"/>
      <c r="B144" s="637" t="s">
        <v>1589</v>
      </c>
      <c r="C144" s="632" t="s">
        <v>1935</v>
      </c>
      <c r="D144" s="633">
        <f>SUM(D141:D143)</f>
        <v>5845</v>
      </c>
      <c r="E144" s="633">
        <f>SUM(E141:E143)</f>
        <v>3478</v>
      </c>
    </row>
    <row r="145" spans="1:8" ht="3.75" customHeight="1" hidden="1">
      <c r="A145" s="608"/>
      <c r="B145" s="663"/>
      <c r="C145" s="663"/>
      <c r="D145" s="639"/>
      <c r="E145" s="639"/>
      <c r="G145" s="62">
        <f>+' -'!$B$11</f>
      </c>
      <c r="H145" s="62"/>
    </row>
    <row r="146" spans="1:5" ht="21.75" customHeight="1" hidden="1">
      <c r="A146" s="608"/>
      <c r="B146" s="647"/>
      <c r="C146" s="647"/>
      <c r="D146" s="639"/>
      <c r="E146" s="648" t="s">
        <v>1407</v>
      </c>
    </row>
    <row r="147" spans="1:5" ht="21.75" customHeight="1" hidden="1">
      <c r="A147" s="609"/>
      <c r="B147" s="610"/>
      <c r="C147" s="611" t="s">
        <v>282</v>
      </c>
      <c r="D147" s="612" t="s">
        <v>2017</v>
      </c>
      <c r="E147" s="613"/>
    </row>
    <row r="148" spans="1:5" ht="21.75" customHeight="1" hidden="1">
      <c r="A148" s="614" t="s">
        <v>1612</v>
      </c>
      <c r="B148" s="615" t="s">
        <v>2016</v>
      </c>
      <c r="C148" s="615" t="s">
        <v>1191</v>
      </c>
      <c r="D148" s="610" t="str">
        <f>$D$7</f>
        <v>Текуща</v>
      </c>
      <c r="E148" s="610" t="str">
        <f>$E$7</f>
        <v>Предходна</v>
      </c>
    </row>
    <row r="149" spans="1:5" ht="21.75" customHeight="1" hidden="1">
      <c r="A149" s="617"/>
      <c r="B149" s="618"/>
      <c r="C149" s="618" t="s">
        <v>283</v>
      </c>
      <c r="D149" s="618" t="str">
        <f>$D$8</f>
        <v>година</v>
      </c>
      <c r="E149" s="618" t="str">
        <f>$E$8</f>
        <v>година</v>
      </c>
    </row>
    <row r="150" spans="1:5" ht="21.75" customHeight="1" hidden="1">
      <c r="A150" s="620" t="s">
        <v>1405</v>
      </c>
      <c r="B150" s="610" t="s">
        <v>1558</v>
      </c>
      <c r="C150" s="610" t="s">
        <v>284</v>
      </c>
      <c r="D150" s="615">
        <v>1</v>
      </c>
      <c r="E150" s="615">
        <v>2</v>
      </c>
    </row>
    <row r="151" spans="1:5" ht="21.75" customHeight="1" hidden="1">
      <c r="A151" s="621" t="s">
        <v>1715</v>
      </c>
      <c r="B151" s="622" t="s">
        <v>1936</v>
      </c>
      <c r="C151" s="622"/>
      <c r="D151" s="609"/>
      <c r="E151" s="609"/>
    </row>
    <row r="152" spans="1:5" ht="21.75" customHeight="1" hidden="1">
      <c r="A152" s="614" t="s">
        <v>738</v>
      </c>
      <c r="B152" s="623" t="s">
        <v>257</v>
      </c>
      <c r="C152" s="623"/>
      <c r="D152" s="624"/>
      <c r="E152" s="624"/>
    </row>
    <row r="153" spans="1:5" ht="21.75" customHeight="1" hidden="1">
      <c r="A153" s="625">
        <v>1</v>
      </c>
      <c r="B153" s="1317" t="s">
        <v>250</v>
      </c>
      <c r="C153" s="1328" t="s">
        <v>455</v>
      </c>
      <c r="D153" s="1311">
        <f>Баланс!G62</f>
        <v>5</v>
      </c>
      <c r="E153" s="1311">
        <f>Баланс!H62</f>
        <v>0</v>
      </c>
    </row>
    <row r="154" spans="1:5" ht="21.75" customHeight="1" hidden="1">
      <c r="A154" s="620">
        <v>2</v>
      </c>
      <c r="B154" s="617" t="s">
        <v>251</v>
      </c>
      <c r="C154" s="653" t="s">
        <v>1937</v>
      </c>
      <c r="D154" s="1311">
        <f>Баланс!G59</f>
        <v>0</v>
      </c>
      <c r="E154" s="1311">
        <f>Баланс!H59</f>
        <v>0</v>
      </c>
    </row>
    <row r="155" spans="1:5" ht="21.75" customHeight="1" hidden="1">
      <c r="A155" s="620"/>
      <c r="B155" s="629" t="s">
        <v>1050</v>
      </c>
      <c r="C155" s="655"/>
      <c r="D155" s="1324">
        <v>0</v>
      </c>
      <c r="E155" s="1324">
        <v>0</v>
      </c>
    </row>
    <row r="156" spans="1:5" ht="21.75" customHeight="1" hidden="1">
      <c r="A156" s="620">
        <v>3</v>
      </c>
      <c r="B156" s="629" t="s">
        <v>258</v>
      </c>
      <c r="C156" s="653" t="s">
        <v>457</v>
      </c>
      <c r="D156" s="1311">
        <f>Баланс!G64</f>
        <v>407</v>
      </c>
      <c r="E156" s="1311">
        <f>Баланс!H64</f>
        <v>523</v>
      </c>
    </row>
    <row r="157" spans="1:5" ht="21.75" customHeight="1" hidden="1">
      <c r="A157" s="620">
        <v>4</v>
      </c>
      <c r="B157" s="629" t="s">
        <v>252</v>
      </c>
      <c r="C157" s="653" t="s">
        <v>456</v>
      </c>
      <c r="D157" s="1311">
        <f>Баланс!G63</f>
        <v>0</v>
      </c>
      <c r="E157" s="1311">
        <f>Баланс!H63</f>
        <v>0</v>
      </c>
    </row>
    <row r="158" spans="1:5" ht="21.75" customHeight="1" hidden="1">
      <c r="A158" s="620">
        <v>5</v>
      </c>
      <c r="B158" s="629" t="s">
        <v>259</v>
      </c>
      <c r="C158" s="653" t="s">
        <v>459</v>
      </c>
      <c r="D158" s="1311">
        <f>Баланс!G66</f>
        <v>109</v>
      </c>
      <c r="E158" s="1311">
        <f>Баланс!H66</f>
        <v>73</v>
      </c>
    </row>
    <row r="159" spans="1:5" ht="21.75" customHeight="1" hidden="1">
      <c r="A159" s="620">
        <v>6</v>
      </c>
      <c r="B159" s="629" t="s">
        <v>260</v>
      </c>
      <c r="C159" s="653" t="s">
        <v>460</v>
      </c>
      <c r="D159" s="1311">
        <f>Баланс!G67</f>
        <v>35</v>
      </c>
      <c r="E159" s="1311">
        <f>Баланс!H67</f>
        <v>25</v>
      </c>
    </row>
    <row r="160" spans="1:5" ht="21.75" customHeight="1" hidden="1">
      <c r="A160" s="620">
        <v>7</v>
      </c>
      <c r="B160" s="629" t="s">
        <v>261</v>
      </c>
      <c r="C160" s="653" t="s">
        <v>398</v>
      </c>
      <c r="D160" s="1311">
        <f>Баланс!G68</f>
        <v>146</v>
      </c>
      <c r="E160" s="1311">
        <f>Баланс!H68</f>
        <v>323</v>
      </c>
    </row>
    <row r="161" spans="1:5" ht="21.75" customHeight="1" hidden="1">
      <c r="A161" s="620">
        <v>8</v>
      </c>
      <c r="B161" s="1313" t="s">
        <v>262</v>
      </c>
      <c r="C161" s="1328" t="s">
        <v>399</v>
      </c>
      <c r="D161" s="1311">
        <f>Баланс!G70</f>
        <v>0</v>
      </c>
      <c r="E161" s="1311">
        <f>Баланс!H70</f>
        <v>0</v>
      </c>
    </row>
    <row r="162" spans="1:5" ht="21.75" customHeight="1" hidden="1">
      <c r="A162" s="620">
        <v>9</v>
      </c>
      <c r="B162" s="1313" t="s">
        <v>263</v>
      </c>
      <c r="C162" s="1328" t="s">
        <v>458</v>
      </c>
      <c r="D162" s="1311">
        <f>Баланс!G65</f>
        <v>9</v>
      </c>
      <c r="E162" s="1311">
        <f>Баланс!H65</f>
        <v>5</v>
      </c>
    </row>
    <row r="163" spans="1:6" ht="21.75" customHeight="1" hidden="1">
      <c r="A163" s="620">
        <v>10</v>
      </c>
      <c r="B163" s="1321" t="s">
        <v>400</v>
      </c>
      <c r="C163" s="1329" t="s">
        <v>973</v>
      </c>
      <c r="D163" s="1311">
        <f>Баланс!G60+Баланс!G69+Баланс!G74</f>
        <v>49</v>
      </c>
      <c r="E163" s="1311">
        <f>Баланс!H60+Баланс!H69+Баланс!H74</f>
        <v>35</v>
      </c>
      <c r="F163" s="574"/>
    </row>
    <row r="164" spans="1:5" ht="21.75" customHeight="1" hidden="1">
      <c r="A164" s="620"/>
      <c r="B164" s="664" t="s">
        <v>854</v>
      </c>
      <c r="C164" s="632" t="s">
        <v>401</v>
      </c>
      <c r="D164" s="633">
        <f>SUM(D153:D163)-D155</f>
        <v>760</v>
      </c>
      <c r="E164" s="633">
        <f>SUM(E153:E163)-E155</f>
        <v>984</v>
      </c>
    </row>
    <row r="165" spans="1:6" ht="21.75" customHeight="1" hidden="1">
      <c r="A165" s="620" t="s">
        <v>1356</v>
      </c>
      <c r="B165" s="629" t="s">
        <v>255</v>
      </c>
      <c r="C165" s="662" t="s">
        <v>974</v>
      </c>
      <c r="D165" s="628">
        <f>Баланс!G75+Баланс!G76</f>
        <v>1044</v>
      </c>
      <c r="E165" s="628">
        <f>Баланс!H75+Баланс!H76</f>
        <v>1103</v>
      </c>
      <c r="F165" s="56">
        <f>IF(D98=D167,"","Сумата на")</f>
      </c>
    </row>
    <row r="166" spans="1:6" ht="21.75" customHeight="1" hidden="1">
      <c r="A166" s="620"/>
      <c r="B166" s="637" t="s">
        <v>402</v>
      </c>
      <c r="C166" s="632" t="s">
        <v>403</v>
      </c>
      <c r="D166" s="633">
        <f>SUM(D164:D165)</f>
        <v>1804</v>
      </c>
      <c r="E166" s="633">
        <f>SUM(E164:E165)</f>
        <v>2087</v>
      </c>
      <c r="F166" s="56">
        <f>IF(D98=D167,"","актива е:")</f>
      </c>
    </row>
    <row r="167" spans="1:6" ht="21.75" customHeight="1" hidden="1">
      <c r="A167" s="620"/>
      <c r="B167" s="645" t="s">
        <v>1928</v>
      </c>
      <c r="C167" s="632" t="s">
        <v>404</v>
      </c>
      <c r="D167" s="633">
        <f>D130+D131+D144+D166</f>
        <v>21489</v>
      </c>
      <c r="E167" s="633">
        <f>E130+E131+E144+E166</f>
        <v>19317</v>
      </c>
      <c r="F167" s="56">
        <f>IF(D98=D167,"",D98)</f>
      </c>
    </row>
    <row r="168" spans="1:9" ht="21.75" customHeight="1" hidden="1">
      <c r="A168" s="620" t="s">
        <v>264</v>
      </c>
      <c r="B168" s="646" t="s">
        <v>265</v>
      </c>
      <c r="C168" s="655"/>
      <c r="D168" s="1324">
        <v>0</v>
      </c>
      <c r="E168" s="1324">
        <v>0</v>
      </c>
      <c r="I168" s="600" t="str">
        <f>+' -'!$E$21</f>
        <v>Програмата за финансов анализ е лицензирана на:</v>
      </c>
    </row>
    <row r="169" spans="1:9" s="10" customFormat="1" ht="20.25" customHeight="1" hidden="1">
      <c r="A169" s="639"/>
      <c r="B169" s="57">
        <f>IF(OR($D$167&lt;&gt;$D$98,$E$167&lt;&gt;$E$98),"Сумата на актива е: ","")</f>
      </c>
      <c r="C169" s="57"/>
      <c r="D169" s="58">
        <f>IF($D$167=$D$98,"",D98)</f>
      </c>
      <c r="E169" s="58">
        <f>IF($E$167=$E$98,"",E98)</f>
      </c>
      <c r="F169" s="58"/>
      <c r="G169" s="62"/>
      <c r="H169" s="62"/>
      <c r="I169" s="601"/>
    </row>
    <row r="170" spans="1:9" s="10" customFormat="1" ht="15" customHeight="1" hidden="1">
      <c r="A170" s="639"/>
      <c r="B170" s="639"/>
      <c r="C170" s="639"/>
      <c r="D170" s="639"/>
      <c r="E170" s="639"/>
      <c r="G170" s="62">
        <f>+' -'!$B$11</f>
      </c>
      <c r="H170" s="62"/>
      <c r="I170" s="600" t="str">
        <f>+' -'!$E$22</f>
        <v>"В И Н З А В О Д"  А Д - гр. АСЕНОВГРАД</v>
      </c>
    </row>
    <row r="171" spans="1:8" s="10" customFormat="1" ht="21.75" customHeight="1" hidden="1">
      <c r="A171" s="639"/>
      <c r="B171" s="1391">
        <f ca="1">NOW()</f>
        <v>39898.06679247685</v>
      </c>
      <c r="C171" s="665"/>
      <c r="D171" s="58">
        <f>IF($D$167=$D$98,"",D167-D169)</f>
      </c>
      <c r="E171" s="58">
        <f>IF($E$167=$E$98,"",E167-E169)</f>
      </c>
      <c r="F171" s="59">
        <f>IF(OR($D$167&lt;&gt;$D$98,$E$167&lt;&gt;$E$98)," разлика","")</f>
      </c>
      <c r="G171" s="62"/>
      <c r="H171" s="62"/>
    </row>
    <row r="172" spans="1:8" s="10" customFormat="1" ht="21.75" customHeight="1" hidden="1">
      <c r="A172" s="639"/>
      <c r="B172" s="666" t="s">
        <v>1138</v>
      </c>
      <c r="C172" s="666"/>
      <c r="D172" s="667"/>
      <c r="E172" s="639"/>
      <c r="F172" s="18"/>
      <c r="G172" s="18"/>
      <c r="H172" s="18"/>
    </row>
    <row r="173" spans="7:8" s="10" customFormat="1" ht="10.5" customHeight="1">
      <c r="G173" s="62">
        <f>+' -'!$C$12</f>
      </c>
      <c r="H173" s="62"/>
    </row>
    <row r="174" spans="1:13" s="10" customFormat="1" ht="14.25" customHeight="1" hidden="1">
      <c r="A174" s="364"/>
      <c r="B174" s="600" t="str">
        <f>+' -'!$E$21</f>
        <v>Програмата за финансов анализ е лицензирана на:</v>
      </c>
      <c r="C174" s="364"/>
      <c r="D174" s="364"/>
      <c r="H174" s="668"/>
      <c r="I174" s="669"/>
      <c r="J174" s="669"/>
      <c r="K174" s="669"/>
      <c r="L174" s="669"/>
      <c r="M174" s="62">
        <f>+' -'!$B$11</f>
      </c>
    </row>
    <row r="175" spans="2:12" s="10" customFormat="1" ht="14.25" customHeight="1" hidden="1">
      <c r="B175" s="601"/>
      <c r="H175" s="670" t="s">
        <v>1479</v>
      </c>
      <c r="I175" s="669"/>
      <c r="J175" s="669"/>
      <c r="K175" s="669"/>
      <c r="L175" s="669"/>
    </row>
    <row r="176" spans="2:12" ht="14.25" customHeight="1" hidden="1">
      <c r="B176" s="600" t="str">
        <f>+' -'!$E$22</f>
        <v>"В И Н З А В О Д"  А Д - гр. АСЕНОВГРАД</v>
      </c>
      <c r="C176" s="579"/>
      <c r="D176" s="579"/>
      <c r="H176" s="669" t="s">
        <v>1480</v>
      </c>
      <c r="I176" s="669"/>
      <c r="J176" s="669"/>
      <c r="K176" s="669"/>
      <c r="L176" s="669"/>
    </row>
    <row r="177" spans="3:12" ht="14.25" customHeight="1" hidden="1">
      <c r="C177" s="328"/>
      <c r="H177" s="669" t="str">
        <f>+$A$3</f>
        <v>на  "ВИНЗАВОД"  АД - гр. Асеновград  към</v>
      </c>
      <c r="I177" s="669"/>
      <c r="J177" s="669"/>
      <c r="K177" s="669"/>
      <c r="L177" s="669"/>
    </row>
    <row r="178" spans="3:12" ht="14.25" customHeight="1" hidden="1">
      <c r="C178" s="328"/>
      <c r="H178" s="671">
        <f>$A$4</f>
        <v>39813</v>
      </c>
      <c r="I178" s="669"/>
      <c r="J178" s="669"/>
      <c r="K178" s="669"/>
      <c r="L178" s="669"/>
    </row>
    <row r="179" spans="3:12" ht="14.25" customHeight="1" hidden="1">
      <c r="C179" s="328"/>
      <c r="H179" s="609"/>
      <c r="I179" s="672" t="s">
        <v>2193</v>
      </c>
      <c r="J179" s="673" t="s">
        <v>282</v>
      </c>
      <c r="K179" s="674" t="s">
        <v>2017</v>
      </c>
      <c r="L179" s="675"/>
    </row>
    <row r="180" spans="3:12" ht="14.25" customHeight="1" hidden="1">
      <c r="C180" s="328"/>
      <c r="H180" s="614" t="s">
        <v>1612</v>
      </c>
      <c r="I180" s="676" t="s">
        <v>2194</v>
      </c>
      <c r="J180" s="676" t="s">
        <v>1191</v>
      </c>
      <c r="K180" s="610" t="str">
        <f>$D$7</f>
        <v>Текуща</v>
      </c>
      <c r="L180" s="610" t="str">
        <f>$E$7</f>
        <v>Предходна</v>
      </c>
    </row>
    <row r="181" spans="3:12" ht="14.25" customHeight="1" hidden="1">
      <c r="C181" s="328"/>
      <c r="H181" s="617"/>
      <c r="I181" s="676" t="s">
        <v>2195</v>
      </c>
      <c r="J181" s="676" t="s">
        <v>283</v>
      </c>
      <c r="K181" s="615" t="str">
        <f>$D$8</f>
        <v>година</v>
      </c>
      <c r="L181" s="615" t="str">
        <f>$E$8</f>
        <v>година</v>
      </c>
    </row>
    <row r="182" spans="3:12" ht="14.25" customHeight="1" hidden="1">
      <c r="C182" s="328"/>
      <c r="H182" s="677" t="s">
        <v>1405</v>
      </c>
      <c r="I182" s="677" t="s">
        <v>1558</v>
      </c>
      <c r="J182" s="677" t="s">
        <v>284</v>
      </c>
      <c r="K182" s="678">
        <v>1</v>
      </c>
      <c r="L182" s="678">
        <v>2</v>
      </c>
    </row>
    <row r="183" spans="3:12" ht="14.25" customHeight="1" hidden="1">
      <c r="C183" s="328"/>
      <c r="H183" s="621" t="s">
        <v>1855</v>
      </c>
      <c r="I183" s="679" t="s">
        <v>1504</v>
      </c>
      <c r="J183" s="679"/>
      <c r="K183" s="680"/>
      <c r="L183" s="680"/>
    </row>
    <row r="184" spans="3:12" ht="14.25" customHeight="1" hidden="1">
      <c r="C184" s="328"/>
      <c r="H184" s="614" t="s">
        <v>738</v>
      </c>
      <c r="I184" s="681" t="s">
        <v>1505</v>
      </c>
      <c r="J184" s="681"/>
      <c r="K184" s="681"/>
      <c r="L184" s="681"/>
    </row>
    <row r="185" spans="3:12" ht="14.25" customHeight="1" hidden="1">
      <c r="C185" s="328"/>
      <c r="H185" s="625">
        <v>1</v>
      </c>
      <c r="I185" s="682" t="s">
        <v>1506</v>
      </c>
      <c r="J185" s="683" t="s">
        <v>405</v>
      </c>
      <c r="K185" s="1311">
        <f>ОПР!C9</f>
        <v>4859</v>
      </c>
      <c r="L185" s="1311">
        <f>ОПР!D9</f>
        <v>4283</v>
      </c>
    </row>
    <row r="186" spans="2:12" ht="14.25" customHeight="1" hidden="1">
      <c r="B186" s="327" t="s">
        <v>1681</v>
      </c>
      <c r="C186" s="328"/>
      <c r="H186" s="620">
        <v>2</v>
      </c>
      <c r="I186" s="682" t="s">
        <v>1507</v>
      </c>
      <c r="J186" s="683" t="s">
        <v>406</v>
      </c>
      <c r="K186" s="1311">
        <f>ОПР!C10</f>
        <v>498</v>
      </c>
      <c r="L186" s="1311">
        <f>ОПР!D10</f>
        <v>518</v>
      </c>
    </row>
    <row r="187" spans="2:12" ht="14.25" customHeight="1" hidden="1">
      <c r="B187" s="328" t="s">
        <v>936</v>
      </c>
      <c r="C187" s="328"/>
      <c r="H187" s="620">
        <v>3</v>
      </c>
      <c r="I187" s="684" t="s">
        <v>1508</v>
      </c>
      <c r="J187" s="683" t="s">
        <v>407</v>
      </c>
      <c r="K187" s="1311">
        <f>ОПР!C11</f>
        <v>442</v>
      </c>
      <c r="L187" s="1311">
        <f>ОПР!D11</f>
        <v>462</v>
      </c>
    </row>
    <row r="188" spans="2:12" ht="14.25" customHeight="1" hidden="1">
      <c r="B188" s="328" t="s">
        <v>937</v>
      </c>
      <c r="C188" s="328"/>
      <c r="H188" s="620">
        <v>4</v>
      </c>
      <c r="I188" s="684" t="s">
        <v>877</v>
      </c>
      <c r="J188" s="683" t="s">
        <v>408</v>
      </c>
      <c r="K188" s="1311">
        <f>ОПР!C12</f>
        <v>881</v>
      </c>
      <c r="L188" s="1311">
        <f>ОПР!D12</f>
        <v>776</v>
      </c>
    </row>
    <row r="189" spans="2:12" ht="14.25" customHeight="1" hidden="1">
      <c r="B189" s="328" t="s">
        <v>938</v>
      </c>
      <c r="C189" s="328"/>
      <c r="H189" s="620">
        <v>5</v>
      </c>
      <c r="I189" s="684" t="s">
        <v>850</v>
      </c>
      <c r="J189" s="683" t="s">
        <v>409</v>
      </c>
      <c r="K189" s="1311">
        <f>ОПР!C13</f>
        <v>192</v>
      </c>
      <c r="L189" s="1311">
        <f>ОПР!D13</f>
        <v>183</v>
      </c>
    </row>
    <row r="190" spans="2:12" ht="14.25" customHeight="1" hidden="1">
      <c r="B190" s="328" t="s">
        <v>1089</v>
      </c>
      <c r="C190" s="328"/>
      <c r="H190" s="620">
        <v>6</v>
      </c>
      <c r="I190" s="684" t="s">
        <v>851</v>
      </c>
      <c r="J190" s="683" t="s">
        <v>413</v>
      </c>
      <c r="K190" s="1330">
        <f>ОПР!C16</f>
        <v>106</v>
      </c>
      <c r="L190" s="1330">
        <f>ОПР!D16</f>
        <v>237</v>
      </c>
    </row>
    <row r="191" spans="2:12" ht="14.25" customHeight="1" hidden="1">
      <c r="B191" s="328" t="s">
        <v>1090</v>
      </c>
      <c r="C191" s="328"/>
      <c r="H191" s="620"/>
      <c r="I191" s="1320" t="s">
        <v>852</v>
      </c>
      <c r="J191" s="1332" t="s">
        <v>414</v>
      </c>
      <c r="K191" s="1311">
        <f>ОПР!C17</f>
        <v>0</v>
      </c>
      <c r="L191" s="1311">
        <f>ОПР!D17</f>
        <v>0</v>
      </c>
    </row>
    <row r="192" spans="2:12" ht="14.25" customHeight="1" hidden="1">
      <c r="B192" s="328" t="s">
        <v>1091</v>
      </c>
      <c r="C192" s="328"/>
      <c r="H192" s="620"/>
      <c r="I192" s="1331" t="s">
        <v>90</v>
      </c>
      <c r="J192" s="1332" t="s">
        <v>415</v>
      </c>
      <c r="K192" s="1311">
        <f>ОПР!C18</f>
        <v>0</v>
      </c>
      <c r="L192" s="1311">
        <f>ОПР!D18</f>
        <v>0</v>
      </c>
    </row>
    <row r="193" spans="2:13" ht="14.25" customHeight="1" hidden="1">
      <c r="B193" s="328" t="s">
        <v>1092</v>
      </c>
      <c r="C193" s="328"/>
      <c r="H193" s="620"/>
      <c r="I193" s="1331" t="s">
        <v>91</v>
      </c>
      <c r="J193" s="1332" t="s">
        <v>416</v>
      </c>
      <c r="K193" s="1324">
        <v>0</v>
      </c>
      <c r="L193" s="1324">
        <v>0</v>
      </c>
      <c r="M193" s="63"/>
    </row>
    <row r="194" spans="2:12" ht="14.25" customHeight="1" hidden="1">
      <c r="B194" s="328" t="s">
        <v>1093</v>
      </c>
      <c r="C194" s="328"/>
      <c r="H194" s="620"/>
      <c r="I194" s="631" t="s">
        <v>854</v>
      </c>
      <c r="J194" s="686" t="s">
        <v>417</v>
      </c>
      <c r="K194" s="633">
        <f>SUM(K185:K190)</f>
        <v>6978</v>
      </c>
      <c r="L194" s="633">
        <f>SUM(L185:L190)</f>
        <v>6459</v>
      </c>
    </row>
    <row r="195" spans="2:12" ht="14.25" customHeight="1" hidden="1">
      <c r="B195" s="328" t="s">
        <v>753</v>
      </c>
      <c r="C195" s="328"/>
      <c r="H195" s="621" t="s">
        <v>1356</v>
      </c>
      <c r="I195" s="687" t="s">
        <v>1707</v>
      </c>
      <c r="J195" s="688"/>
      <c r="K195" s="680"/>
      <c r="L195" s="680"/>
    </row>
    <row r="196" spans="2:12" ht="14.25" customHeight="1" hidden="1">
      <c r="B196" s="328" t="s">
        <v>1108</v>
      </c>
      <c r="C196" s="328"/>
      <c r="H196" s="625">
        <v>1</v>
      </c>
      <c r="I196" s="689" t="s">
        <v>1708</v>
      </c>
      <c r="J196" s="683" t="s">
        <v>411</v>
      </c>
      <c r="K196" s="1333">
        <f>ОПР!C14</f>
        <v>236</v>
      </c>
      <c r="L196" s="1333">
        <f>ОПР!D14</f>
        <v>204</v>
      </c>
    </row>
    <row r="197" spans="2:12" ht="14.25" customHeight="1" hidden="1">
      <c r="B197" s="328" t="s">
        <v>1094</v>
      </c>
      <c r="C197" s="328"/>
      <c r="H197" s="625">
        <v>2</v>
      </c>
      <c r="I197" s="690" t="s">
        <v>92</v>
      </c>
      <c r="J197" s="682"/>
      <c r="K197" s="1324">
        <v>0</v>
      </c>
      <c r="L197" s="1324">
        <v>0</v>
      </c>
    </row>
    <row r="198" spans="2:12" ht="14.25" customHeight="1" hidden="1">
      <c r="B198" s="328" t="s">
        <v>1095</v>
      </c>
      <c r="C198" s="328"/>
      <c r="H198" s="625">
        <v>3</v>
      </c>
      <c r="I198" s="691" t="s">
        <v>410</v>
      </c>
      <c r="J198" s="683" t="s">
        <v>412</v>
      </c>
      <c r="K198" s="1311">
        <f>ОПР!C15</f>
        <v>-835</v>
      </c>
      <c r="L198" s="1311">
        <f>ОПР!D15</f>
        <v>429</v>
      </c>
    </row>
    <row r="199" spans="2:12" ht="14.25" customHeight="1" hidden="1">
      <c r="B199" s="328" t="s">
        <v>1096</v>
      </c>
      <c r="C199" s="328"/>
      <c r="H199" s="625">
        <v>4</v>
      </c>
      <c r="I199" s="1313" t="s">
        <v>1709</v>
      </c>
      <c r="J199" s="685"/>
      <c r="K199" s="1324">
        <v>0</v>
      </c>
      <c r="L199" s="1324">
        <v>0</v>
      </c>
    </row>
    <row r="200" spans="2:12" ht="14.25" customHeight="1" hidden="1">
      <c r="B200" s="328" t="s">
        <v>1097</v>
      </c>
      <c r="C200" s="328"/>
      <c r="H200" s="625">
        <v>5</v>
      </c>
      <c r="I200" s="1313" t="s">
        <v>1710</v>
      </c>
      <c r="J200" s="685"/>
      <c r="K200" s="1326">
        <v>0</v>
      </c>
      <c r="L200" s="1326">
        <v>0</v>
      </c>
    </row>
    <row r="201" spans="2:12" ht="14.25" customHeight="1" hidden="1">
      <c r="B201" s="328" t="s">
        <v>1098</v>
      </c>
      <c r="C201" s="328"/>
      <c r="H201" s="625"/>
      <c r="I201" s="631" t="s">
        <v>2202</v>
      </c>
      <c r="J201" s="686" t="s">
        <v>418</v>
      </c>
      <c r="K201" s="633">
        <f>IF(' -'!$B$21=1,SUM(K196:K200),' -'!$B$21)</f>
        <v>-599</v>
      </c>
      <c r="L201" s="633">
        <f>SUM(L196:L200)</f>
        <v>633</v>
      </c>
    </row>
    <row r="202" spans="2:12" ht="14.25" customHeight="1" hidden="1">
      <c r="B202" s="328" t="s">
        <v>1099</v>
      </c>
      <c r="C202" s="328"/>
      <c r="H202" s="621" t="s">
        <v>1357</v>
      </c>
      <c r="I202" s="680" t="s">
        <v>1711</v>
      </c>
      <c r="J202" s="680"/>
      <c r="K202" s="680"/>
      <c r="L202" s="680"/>
    </row>
    <row r="203" spans="2:12" ht="14.25" customHeight="1" hidden="1">
      <c r="B203" s="328" t="s">
        <v>1100</v>
      </c>
      <c r="C203" s="328"/>
      <c r="H203" s="625">
        <v>1</v>
      </c>
      <c r="I203" s="682" t="s">
        <v>1712</v>
      </c>
      <c r="J203" s="683" t="s">
        <v>419</v>
      </c>
      <c r="K203" s="1311">
        <f>ОПР!C22</f>
        <v>289</v>
      </c>
      <c r="L203" s="1311">
        <f>ОПР!D22</f>
        <v>210</v>
      </c>
    </row>
    <row r="204" spans="2:12" ht="14.25" customHeight="1" hidden="1">
      <c r="B204" s="328" t="s">
        <v>1101</v>
      </c>
      <c r="C204" s="328"/>
      <c r="H204" s="620"/>
      <c r="I204" s="617" t="s">
        <v>2309</v>
      </c>
      <c r="J204" s="617"/>
      <c r="K204" s="1324">
        <v>0</v>
      </c>
      <c r="L204" s="1324">
        <v>0</v>
      </c>
    </row>
    <row r="205" spans="2:12" ht="14.25" customHeight="1" hidden="1">
      <c r="B205" s="328" t="s">
        <v>1102</v>
      </c>
      <c r="C205" s="328"/>
      <c r="H205" s="620">
        <v>2</v>
      </c>
      <c r="I205" s="1334" t="s">
        <v>420</v>
      </c>
      <c r="J205" s="1332" t="s">
        <v>421</v>
      </c>
      <c r="K205" s="1311">
        <f>ОПР!C23</f>
        <v>0</v>
      </c>
      <c r="L205" s="1311">
        <f>ОПР!D23</f>
        <v>0</v>
      </c>
    </row>
    <row r="206" spans="2:12" ht="14.25" customHeight="1" hidden="1">
      <c r="B206" s="328" t="s">
        <v>1103</v>
      </c>
      <c r="C206" s="328"/>
      <c r="H206" s="620">
        <v>3</v>
      </c>
      <c r="I206" s="684" t="s">
        <v>1713</v>
      </c>
      <c r="J206" s="683" t="s">
        <v>422</v>
      </c>
      <c r="K206" s="1311">
        <f>ОПР!C24</f>
        <v>6</v>
      </c>
      <c r="L206" s="1311">
        <f>ОПР!D24</f>
        <v>1</v>
      </c>
    </row>
    <row r="207" spans="2:12" ht="14.25" customHeight="1" hidden="1">
      <c r="B207" s="328" t="s">
        <v>1104</v>
      </c>
      <c r="C207" s="328"/>
      <c r="H207" s="620">
        <v>4</v>
      </c>
      <c r="I207" s="1313" t="s">
        <v>1714</v>
      </c>
      <c r="J207" s="1332" t="s">
        <v>423</v>
      </c>
      <c r="K207" s="1311">
        <f>ОПР!C25</f>
        <v>133</v>
      </c>
      <c r="L207" s="1311">
        <f>ОПР!D25</f>
        <v>71</v>
      </c>
    </row>
    <row r="208" spans="2:12" ht="14.25" customHeight="1" hidden="1">
      <c r="B208" s="328" t="s">
        <v>357</v>
      </c>
      <c r="C208" s="328"/>
      <c r="H208" s="620"/>
      <c r="I208" s="664" t="s">
        <v>500</v>
      </c>
      <c r="J208" s="686" t="s">
        <v>425</v>
      </c>
      <c r="K208" s="633">
        <f>SUM(K203:K207)-K204</f>
        <v>428</v>
      </c>
      <c r="L208" s="633">
        <f>SUM(L203:L207)-L204</f>
        <v>282</v>
      </c>
    </row>
    <row r="209" spans="2:12" ht="14.25" customHeight="1" hidden="1">
      <c r="B209" s="328" t="s">
        <v>358</v>
      </c>
      <c r="C209" s="328"/>
      <c r="H209" s="620" t="s">
        <v>737</v>
      </c>
      <c r="I209" s="692" t="s">
        <v>1754</v>
      </c>
      <c r="J209" s="686" t="s">
        <v>424</v>
      </c>
      <c r="K209" s="633">
        <f>K194+K201+K208</f>
        <v>6807</v>
      </c>
      <c r="L209" s="633">
        <f>L194+L201+L208</f>
        <v>7374</v>
      </c>
    </row>
    <row r="210" spans="2:12" ht="14.25" customHeight="1" hidden="1">
      <c r="B210" s="328" t="s">
        <v>1105</v>
      </c>
      <c r="C210" s="328"/>
      <c r="H210" s="620" t="s">
        <v>256</v>
      </c>
      <c r="I210" s="693" t="s">
        <v>1755</v>
      </c>
      <c r="J210" s="686" t="s">
        <v>426</v>
      </c>
      <c r="K210" s="633">
        <f>IF(K247&gt;K209,K247-K209,0)</f>
        <v>138</v>
      </c>
      <c r="L210" s="633">
        <f>IF(L247&gt;L209,L247-L209,0)</f>
        <v>457</v>
      </c>
    </row>
    <row r="211" spans="2:12" ht="14.25" customHeight="1" hidden="1">
      <c r="B211" s="328" t="s">
        <v>1106</v>
      </c>
      <c r="C211" s="328"/>
      <c r="H211" s="620" t="s">
        <v>731</v>
      </c>
      <c r="I211" s="694" t="s">
        <v>2432</v>
      </c>
      <c r="J211" s="695" t="s">
        <v>2142</v>
      </c>
      <c r="K211" s="1311">
        <f>ОПР!C31</f>
        <v>0</v>
      </c>
      <c r="L211" s="1311">
        <f>ОПР!D31</f>
        <v>0</v>
      </c>
    </row>
    <row r="212" spans="2:12" ht="14.25" customHeight="1" hidden="1">
      <c r="B212" s="328" t="s">
        <v>1107</v>
      </c>
      <c r="C212" s="328"/>
      <c r="H212" s="620" t="s">
        <v>735</v>
      </c>
      <c r="I212" s="684" t="s">
        <v>1756</v>
      </c>
      <c r="J212" s="686" t="s">
        <v>427</v>
      </c>
      <c r="K212" s="1311">
        <f>ОПР!C32</f>
        <v>0</v>
      </c>
      <c r="L212" s="1311">
        <f>ОПР!D32</f>
        <v>0</v>
      </c>
    </row>
    <row r="213" spans="8:12" ht="14.25" customHeight="1" hidden="1">
      <c r="H213" s="620" t="s">
        <v>1715</v>
      </c>
      <c r="I213" s="693" t="s">
        <v>189</v>
      </c>
      <c r="J213" s="686" t="s">
        <v>428</v>
      </c>
      <c r="K213" s="633">
        <f>K209+K211+K212</f>
        <v>6807</v>
      </c>
      <c r="L213" s="633">
        <f>L209+L211+L212</f>
        <v>7374</v>
      </c>
    </row>
    <row r="214" spans="8:12" ht="14.25" customHeight="1" hidden="1">
      <c r="H214" s="620" t="s">
        <v>264</v>
      </c>
      <c r="I214" s="696" t="s">
        <v>2381</v>
      </c>
      <c r="J214" s="686" t="s">
        <v>429</v>
      </c>
      <c r="K214" s="633">
        <f>IF(K251&gt;K213,K251-K213,0)</f>
        <v>138</v>
      </c>
      <c r="L214" s="633">
        <f>IF(L251&gt;L213,L251-L213,0)</f>
        <v>457</v>
      </c>
    </row>
    <row r="215" spans="8:12" ht="14.25" customHeight="1" hidden="1">
      <c r="H215" s="697" t="s">
        <v>12</v>
      </c>
      <c r="I215" s="684" t="s">
        <v>1757</v>
      </c>
      <c r="J215" s="686" t="s">
        <v>430</v>
      </c>
      <c r="K215" s="633">
        <f>SUM(K216:K217)</f>
        <v>35</v>
      </c>
      <c r="L215" s="633">
        <f>SUM(L216:L217)</f>
        <v>32</v>
      </c>
    </row>
    <row r="216" spans="8:12" ht="14.25" customHeight="1" hidden="1">
      <c r="H216" s="620"/>
      <c r="I216" s="684" t="s">
        <v>773</v>
      </c>
      <c r="J216" s="698" t="s">
        <v>431</v>
      </c>
      <c r="K216" s="1311">
        <f>ОПР!C36+ОПР!C37</f>
        <v>35</v>
      </c>
      <c r="L216" s="1311">
        <f>ОПР!D36+ОПР!D37</f>
        <v>32</v>
      </c>
    </row>
    <row r="217" spans="8:12" ht="14.25" customHeight="1" hidden="1">
      <c r="H217" s="620"/>
      <c r="I217" s="1331" t="s">
        <v>1758</v>
      </c>
      <c r="J217" s="699" t="s">
        <v>432</v>
      </c>
      <c r="K217" s="1311">
        <f>ОПР!C38</f>
        <v>0</v>
      </c>
      <c r="L217" s="1311">
        <f>ОПР!D38</f>
        <v>0</v>
      </c>
    </row>
    <row r="218" spans="8:13" ht="14.25" customHeight="1" hidden="1">
      <c r="H218" s="620" t="s">
        <v>1716</v>
      </c>
      <c r="I218" s="693" t="s">
        <v>190</v>
      </c>
      <c r="J218" s="686" t="s">
        <v>433</v>
      </c>
      <c r="K218" s="633">
        <f>IF($K$251&gt;$K$213+$K$215,$K$251-$K$213-$K$215,0)</f>
        <v>103</v>
      </c>
      <c r="L218" s="633">
        <f>IF($L$251&gt;$L$213+$L$215,$L$251-$L$213-$L$215,0)</f>
        <v>425</v>
      </c>
      <c r="M218" s="63"/>
    </row>
    <row r="219" spans="8:12" ht="14.25" customHeight="1" hidden="1">
      <c r="H219" s="697" t="s">
        <v>14</v>
      </c>
      <c r="I219" s="700" t="s">
        <v>65</v>
      </c>
      <c r="J219" s="701" t="s">
        <v>2253</v>
      </c>
      <c r="K219" s="1333">
        <f>ОПР!C40</f>
        <v>0</v>
      </c>
      <c r="L219" s="1333">
        <f>ОПР!D40</f>
        <v>0</v>
      </c>
    </row>
    <row r="220" spans="8:12" ht="14.25" customHeight="1" hidden="1">
      <c r="H220" s="697" t="s">
        <v>13</v>
      </c>
      <c r="I220" s="702" t="s">
        <v>89</v>
      </c>
      <c r="J220" s="703"/>
      <c r="K220" s="704">
        <f>IF($K$251+$K$254&gt;=($K$213+$K$215+$K$219),$K$251-$K$213-$K$215-$K$219+$K$254,0)</f>
        <v>103</v>
      </c>
      <c r="L220" s="704">
        <f>IF($L$251+$L$254&gt;=($L$213+$L$215+$L$219),$L$251-$L$213-$L$215-$L$219+$L$254,0)</f>
        <v>425</v>
      </c>
    </row>
    <row r="221" spans="8:12" ht="14.25" customHeight="1" hidden="1">
      <c r="H221" s="697" t="s">
        <v>191</v>
      </c>
      <c r="I221" s="705" t="s">
        <v>16</v>
      </c>
      <c r="J221" s="706"/>
      <c r="K221" s="1335">
        <v>0</v>
      </c>
      <c r="L221" s="1335">
        <v>0</v>
      </c>
    </row>
    <row r="222" spans="8:12" ht="14.25" customHeight="1" hidden="1">
      <c r="H222" s="620" t="s">
        <v>248</v>
      </c>
      <c r="I222" s="693" t="s">
        <v>2433</v>
      </c>
      <c r="J222" s="695" t="s">
        <v>434</v>
      </c>
      <c r="K222" s="633">
        <f>IF($K$251+$K$254+$K$256&gt;=($K$213+$K$215+$K$219+$K$221),$K$251-$K$213-$K$215-$K$219+$K$254-$K$221+$K$256,0)</f>
        <v>103</v>
      </c>
      <c r="L222" s="633">
        <f>IF($L$251+$L$254+$L$256&gt;=($L$213+$L$215+$L$219+$L$221),$L$251-$L$213-$L$215-$L$219+$L$254-$L$221+$L$256,0)</f>
        <v>425</v>
      </c>
    </row>
    <row r="223" spans="8:12" ht="14.25" customHeight="1" hidden="1">
      <c r="H223" s="620"/>
      <c r="I223" s="707" t="s">
        <v>192</v>
      </c>
      <c r="J223" s="686" t="s">
        <v>435</v>
      </c>
      <c r="K223" s="704">
        <f>K213+K215+K219+K221+K222</f>
        <v>6945</v>
      </c>
      <c r="L223" s="704">
        <f>L213+L215+L219+L221+L222</f>
        <v>7831</v>
      </c>
    </row>
    <row r="224" spans="8:34" ht="6.75" customHeight="1" hidden="1">
      <c r="H224" s="608"/>
      <c r="I224" s="708"/>
      <c r="J224" s="708"/>
      <c r="K224" s="708"/>
      <c r="L224" s="708"/>
      <c r="M224" s="62">
        <f>+' -'!$B$11</f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8:12" ht="18.75" customHeight="1" hidden="1">
      <c r="H225" s="609"/>
      <c r="I225" s="672" t="s">
        <v>2193</v>
      </c>
      <c r="J225" s="673" t="s">
        <v>282</v>
      </c>
      <c r="K225" s="674" t="s">
        <v>2017</v>
      </c>
      <c r="L225" s="675"/>
    </row>
    <row r="226" spans="8:12" ht="18.75" customHeight="1" hidden="1">
      <c r="H226" s="614" t="s">
        <v>1612</v>
      </c>
      <c r="I226" s="676" t="s">
        <v>2194</v>
      </c>
      <c r="J226" s="676" t="s">
        <v>1191</v>
      </c>
      <c r="K226" s="610" t="str">
        <f>$D$7</f>
        <v>Текуща</v>
      </c>
      <c r="L226" s="610" t="str">
        <f>$E$7</f>
        <v>Предходна</v>
      </c>
    </row>
    <row r="227" spans="8:12" ht="18.75" customHeight="1" hidden="1">
      <c r="H227" s="617"/>
      <c r="I227" s="709" t="s">
        <v>2328</v>
      </c>
      <c r="J227" s="676" t="s">
        <v>283</v>
      </c>
      <c r="K227" s="615" t="str">
        <f>$D$8</f>
        <v>година</v>
      </c>
      <c r="L227" s="615" t="str">
        <f>$E$8</f>
        <v>година</v>
      </c>
    </row>
    <row r="228" spans="8:12" ht="18.75" customHeight="1" hidden="1">
      <c r="H228" s="677" t="s">
        <v>1405</v>
      </c>
      <c r="I228" s="677" t="s">
        <v>1558</v>
      </c>
      <c r="J228" s="677" t="s">
        <v>284</v>
      </c>
      <c r="K228" s="678">
        <v>1</v>
      </c>
      <c r="L228" s="678">
        <v>2</v>
      </c>
    </row>
    <row r="229" spans="8:12" ht="18.75" customHeight="1" hidden="1">
      <c r="H229" s="621" t="s">
        <v>1855</v>
      </c>
      <c r="I229" s="691" t="s">
        <v>790</v>
      </c>
      <c r="J229" s="691"/>
      <c r="K229" s="680"/>
      <c r="L229" s="680"/>
    </row>
    <row r="230" spans="8:12" ht="18.75" customHeight="1" hidden="1">
      <c r="H230" s="614" t="s">
        <v>738</v>
      </c>
      <c r="I230" s="681" t="s">
        <v>791</v>
      </c>
      <c r="J230" s="681"/>
      <c r="K230" s="681"/>
      <c r="L230" s="681"/>
    </row>
    <row r="231" spans="8:12" ht="18.75" customHeight="1" hidden="1">
      <c r="H231" s="625">
        <v>1</v>
      </c>
      <c r="I231" s="682" t="s">
        <v>1351</v>
      </c>
      <c r="J231" s="699" t="s">
        <v>436</v>
      </c>
      <c r="K231" s="1311">
        <f>ОПР!G9</f>
        <v>5835</v>
      </c>
      <c r="L231" s="1311">
        <f>ОПР!H9</f>
        <v>6717</v>
      </c>
    </row>
    <row r="232" spans="8:12" ht="18.75" customHeight="1" hidden="1">
      <c r="H232" s="620">
        <v>2</v>
      </c>
      <c r="I232" s="682" t="s">
        <v>1355</v>
      </c>
      <c r="J232" s="699" t="s">
        <v>437</v>
      </c>
      <c r="K232" s="1311">
        <f>ОПР!G10</f>
        <v>324</v>
      </c>
      <c r="L232" s="1311">
        <f>ОПР!H10</f>
        <v>275</v>
      </c>
    </row>
    <row r="233" spans="8:12" ht="18.75" customHeight="1" hidden="1">
      <c r="H233" s="620">
        <v>3</v>
      </c>
      <c r="I233" s="1313" t="s">
        <v>1759</v>
      </c>
      <c r="J233" s="1336" t="s">
        <v>438</v>
      </c>
      <c r="K233" s="1311">
        <f>ОПР!G11</f>
        <v>98</v>
      </c>
      <c r="L233" s="1311">
        <f>ОПР!H11</f>
        <v>216</v>
      </c>
    </row>
    <row r="234" spans="8:12" ht="18.75" customHeight="1" hidden="1">
      <c r="H234" s="620">
        <v>4</v>
      </c>
      <c r="I234" s="1313" t="s">
        <v>1760</v>
      </c>
      <c r="J234" s="1336" t="s">
        <v>439</v>
      </c>
      <c r="K234" s="1311">
        <f>ОПР!G12</f>
        <v>431</v>
      </c>
      <c r="L234" s="1311">
        <f>ОПР!H12</f>
        <v>300</v>
      </c>
    </row>
    <row r="235" spans="8:12" ht="18.75" customHeight="1" hidden="1">
      <c r="H235" s="620"/>
      <c r="I235" s="664" t="s">
        <v>854</v>
      </c>
      <c r="J235" s="686" t="s">
        <v>440</v>
      </c>
      <c r="K235" s="633">
        <f>SUM(K231:K234)</f>
        <v>6688</v>
      </c>
      <c r="L235" s="633">
        <f>SUM(L231:L234)</f>
        <v>7508</v>
      </c>
    </row>
    <row r="236" spans="8:12" ht="18.75" customHeight="1" hidden="1">
      <c r="H236" s="620" t="s">
        <v>1356</v>
      </c>
      <c r="I236" s="710" t="s">
        <v>1761</v>
      </c>
      <c r="J236" s="686" t="s">
        <v>441</v>
      </c>
      <c r="K236" s="1311">
        <f>ОПР!G15</f>
        <v>73</v>
      </c>
      <c r="L236" s="1311">
        <f>ОПР!H15</f>
        <v>323</v>
      </c>
    </row>
    <row r="237" spans="8:12" ht="18.75" customHeight="1" hidden="1">
      <c r="H237" s="621"/>
      <c r="I237" s="680" t="s">
        <v>95</v>
      </c>
      <c r="J237" s="699" t="s">
        <v>442</v>
      </c>
      <c r="K237" s="1311">
        <f>ОПР!G16</f>
        <v>0</v>
      </c>
      <c r="L237" s="1311">
        <f>ОПР!H16</f>
        <v>0</v>
      </c>
    </row>
    <row r="238" spans="8:12" ht="18.75" customHeight="1" hidden="1">
      <c r="H238" s="621" t="s">
        <v>1357</v>
      </c>
      <c r="I238" s="711" t="s">
        <v>161</v>
      </c>
      <c r="J238" s="711"/>
      <c r="K238" s="1337"/>
      <c r="L238" s="1337"/>
    </row>
    <row r="239" spans="8:12" ht="18.75" customHeight="1" hidden="1">
      <c r="H239" s="625">
        <v>1</v>
      </c>
      <c r="I239" s="712" t="s">
        <v>162</v>
      </c>
      <c r="J239" s="699" t="s">
        <v>443</v>
      </c>
      <c r="K239" s="1311">
        <f>ОПР!G19</f>
        <v>184</v>
      </c>
      <c r="L239" s="1311">
        <f>ОПР!H19</f>
        <v>0</v>
      </c>
    </row>
    <row r="240" spans="8:12" ht="18.75" customHeight="1" hidden="1">
      <c r="H240" s="625"/>
      <c r="I240" s="682" t="s">
        <v>98</v>
      </c>
      <c r="J240" s="682"/>
      <c r="K240" s="1324">
        <v>0</v>
      </c>
      <c r="L240" s="1324">
        <v>0</v>
      </c>
    </row>
    <row r="241" spans="8:12" ht="18.75" customHeight="1" hidden="1">
      <c r="H241" s="620">
        <v>2</v>
      </c>
      <c r="I241" s="684" t="s">
        <v>163</v>
      </c>
      <c r="J241" s="699" t="s">
        <v>444</v>
      </c>
      <c r="K241" s="1311">
        <f>ОПР!G20</f>
        <v>0</v>
      </c>
      <c r="L241" s="1311">
        <f>ОПР!H20</f>
        <v>0</v>
      </c>
    </row>
    <row r="242" spans="8:12" ht="18.75" customHeight="1" hidden="1">
      <c r="H242" s="620"/>
      <c r="I242" s="684" t="s">
        <v>1150</v>
      </c>
      <c r="J242" s="682"/>
      <c r="K242" s="1311">
        <f>ОПР!G20</f>
        <v>0</v>
      </c>
      <c r="L242" s="1311">
        <f>ОПР!H20</f>
        <v>0</v>
      </c>
    </row>
    <row r="243" spans="8:12" ht="18.75" customHeight="1" hidden="1">
      <c r="H243" s="620">
        <v>3</v>
      </c>
      <c r="I243" s="1334" t="s">
        <v>1685</v>
      </c>
      <c r="J243" s="699" t="s">
        <v>1686</v>
      </c>
      <c r="K243" s="1311">
        <f>ОПР!G21</f>
        <v>0</v>
      </c>
      <c r="L243" s="1311">
        <f>ОПР!H21</f>
        <v>0</v>
      </c>
    </row>
    <row r="244" spans="8:12" ht="18.75" customHeight="1" hidden="1">
      <c r="H244" s="620">
        <v>4</v>
      </c>
      <c r="I244" s="684" t="s">
        <v>164</v>
      </c>
      <c r="J244" s="699" t="s">
        <v>1687</v>
      </c>
      <c r="K244" s="1311">
        <f>ОПР!G22</f>
        <v>0</v>
      </c>
      <c r="L244" s="1311">
        <f>ОПР!H22</f>
        <v>0</v>
      </c>
    </row>
    <row r="245" spans="8:12" ht="18.75" customHeight="1" hidden="1">
      <c r="H245" s="620">
        <v>5</v>
      </c>
      <c r="I245" s="1313" t="s">
        <v>165</v>
      </c>
      <c r="J245" s="699" t="s">
        <v>1688</v>
      </c>
      <c r="K245" s="1311">
        <f>ОПР!G23</f>
        <v>0</v>
      </c>
      <c r="L245" s="1311">
        <f>ОПР!H23</f>
        <v>0</v>
      </c>
    </row>
    <row r="246" spans="8:12" ht="18.75" customHeight="1" hidden="1">
      <c r="H246" s="620"/>
      <c r="I246" s="664" t="s">
        <v>500</v>
      </c>
      <c r="J246" s="686" t="s">
        <v>806</v>
      </c>
      <c r="K246" s="633">
        <f>K239+K241+K243+K244+K245</f>
        <v>184</v>
      </c>
      <c r="L246" s="633">
        <f>L239+L241+L243+L244+L245</f>
        <v>0</v>
      </c>
    </row>
    <row r="247" spans="8:12" ht="18.75" customHeight="1" hidden="1">
      <c r="H247" s="620" t="s">
        <v>737</v>
      </c>
      <c r="I247" s="692" t="s">
        <v>166</v>
      </c>
      <c r="J247" s="686" t="s">
        <v>807</v>
      </c>
      <c r="K247" s="633">
        <f>K235+K236+K246</f>
        <v>6945</v>
      </c>
      <c r="L247" s="633">
        <f>L235+L236+L246</f>
        <v>7831</v>
      </c>
    </row>
    <row r="248" spans="8:12" ht="18.75" customHeight="1" hidden="1">
      <c r="H248" s="620" t="s">
        <v>256</v>
      </c>
      <c r="I248" s="693" t="s">
        <v>167</v>
      </c>
      <c r="J248" s="686" t="s">
        <v>808</v>
      </c>
      <c r="K248" s="633">
        <f>IF(K209&gt;K247,K209-K247,0)</f>
        <v>0</v>
      </c>
      <c r="L248" s="633">
        <f>IF(L209&gt;L247,L209-L247,0)</f>
        <v>0</v>
      </c>
    </row>
    <row r="249" spans="8:12" ht="18.75" customHeight="1" hidden="1">
      <c r="H249" s="620" t="s">
        <v>731</v>
      </c>
      <c r="I249" s="694" t="s">
        <v>1152</v>
      </c>
      <c r="J249" s="686" t="s">
        <v>1153</v>
      </c>
      <c r="K249" s="1330">
        <f>ОПР!G31</f>
        <v>0</v>
      </c>
      <c r="L249" s="1330">
        <f>ОПР!H31</f>
        <v>0</v>
      </c>
    </row>
    <row r="250" spans="8:12" ht="18.75" customHeight="1" hidden="1">
      <c r="H250" s="620" t="s">
        <v>735</v>
      </c>
      <c r="I250" s="684" t="s">
        <v>168</v>
      </c>
      <c r="J250" s="686" t="s">
        <v>809</v>
      </c>
      <c r="K250" s="1311">
        <f>ОПР!G32</f>
        <v>0</v>
      </c>
      <c r="L250" s="1311">
        <f>ОПР!H32</f>
        <v>0</v>
      </c>
    </row>
    <row r="251" spans="8:12" ht="18.75" customHeight="1" hidden="1">
      <c r="H251" s="620" t="s">
        <v>1715</v>
      </c>
      <c r="I251" s="693" t="s">
        <v>193</v>
      </c>
      <c r="J251" s="686" t="s">
        <v>810</v>
      </c>
      <c r="K251" s="633">
        <f>K247+K249+K250</f>
        <v>6945</v>
      </c>
      <c r="L251" s="633">
        <f>L247+L249+L250</f>
        <v>7831</v>
      </c>
    </row>
    <row r="252" spans="8:12" ht="18.75" customHeight="1" hidden="1">
      <c r="H252" s="620" t="s">
        <v>264</v>
      </c>
      <c r="I252" s="693" t="s">
        <v>1154</v>
      </c>
      <c r="J252" s="686" t="s">
        <v>811</v>
      </c>
      <c r="K252" s="633">
        <f>IF(K213&gt;K251,K213-K251,0)</f>
        <v>0</v>
      </c>
      <c r="L252" s="633">
        <f>IF(L213&gt;L251,L213-L251,0)</f>
        <v>0</v>
      </c>
    </row>
    <row r="253" spans="8:13" ht="18.75" customHeight="1" hidden="1">
      <c r="H253" s="620" t="s">
        <v>1716</v>
      </c>
      <c r="I253" s="702" t="s">
        <v>1155</v>
      </c>
      <c r="J253" s="686" t="s">
        <v>2251</v>
      </c>
      <c r="K253" s="633">
        <f>IF($K$213+$K$215&gt;$K$251,$K$213+$K$215-$K$251,0)</f>
        <v>0</v>
      </c>
      <c r="L253" s="633">
        <f>IF($L$213+$L$215&gt;$L$251,$L$213+$L$215-$L$251,0)</f>
        <v>0</v>
      </c>
      <c r="M253" s="63"/>
    </row>
    <row r="254" spans="8:12" ht="18.75" customHeight="1" hidden="1">
      <c r="H254" s="620" t="s">
        <v>12</v>
      </c>
      <c r="I254" s="700" t="s">
        <v>65</v>
      </c>
      <c r="J254" s="695" t="s">
        <v>2254</v>
      </c>
      <c r="K254" s="1311">
        <f>ОПР!G40</f>
        <v>0</v>
      </c>
      <c r="L254" s="628">
        <f>ОПР!H40</f>
        <v>0</v>
      </c>
    </row>
    <row r="255" spans="8:12" ht="18.75" customHeight="1" hidden="1">
      <c r="H255" s="620" t="s">
        <v>13</v>
      </c>
      <c r="I255" s="702" t="s">
        <v>15</v>
      </c>
      <c r="J255" s="713"/>
      <c r="K255" s="633">
        <f>IF($K$251+$K$254&lt;=($K$213+$K$215+$K$219),$K$213+$K$215+$K$219-$K$251-$K$254,0)</f>
        <v>0</v>
      </c>
      <c r="L255" s="633">
        <f>IF($L$251+$L$254&lt;=($L$213+$L$215+$L$219),$L$213+$L$215+$L$219-$L$251-$L$254,0)</f>
        <v>0</v>
      </c>
    </row>
    <row r="256" spans="8:12" ht="18.75" customHeight="1" hidden="1">
      <c r="H256" s="620" t="s">
        <v>14</v>
      </c>
      <c r="I256" s="700" t="s">
        <v>16</v>
      </c>
      <c r="J256" s="714"/>
      <c r="K256" s="1324">
        <v>0</v>
      </c>
      <c r="L256" s="1324">
        <v>0</v>
      </c>
    </row>
    <row r="257" spans="8:13" ht="18.75" customHeight="1" hidden="1">
      <c r="H257" s="620" t="s">
        <v>248</v>
      </c>
      <c r="I257" s="702" t="s">
        <v>1156</v>
      </c>
      <c r="J257" s="695" t="s">
        <v>812</v>
      </c>
      <c r="K257" s="633">
        <f>IF($K$251+$K$254+$K$256&lt;=($K$213+$K$215+$K$219+$K$221),$K$213+$K$215+$K$219+$K$221-$K$251-$K$254-$K$256,0)</f>
        <v>0</v>
      </c>
      <c r="L257" s="633">
        <f>IF($L$251+$L$254+$L$256&lt;=($L$213+$L$215+$L$219+$L$221),$L$213+$L$215+$L$219+$L$221-$L$251-$L$254-$L$256,0)</f>
        <v>0</v>
      </c>
      <c r="M257" s="63"/>
    </row>
    <row r="258" spans="8:12" ht="18.75" customHeight="1" hidden="1">
      <c r="H258" s="620"/>
      <c r="I258" s="707" t="s">
        <v>194</v>
      </c>
      <c r="J258" s="715" t="s">
        <v>813</v>
      </c>
      <c r="K258" s="633">
        <f>K251+K254+K256+K257</f>
        <v>6945</v>
      </c>
      <c r="L258" s="633">
        <f>L251+L254+L256+L257</f>
        <v>7831</v>
      </c>
    </row>
    <row r="259" spans="8:13" ht="18.75" customHeight="1" hidden="1">
      <c r="H259" s="608"/>
      <c r="I259" s="639"/>
      <c r="J259" s="639"/>
      <c r="K259" s="639"/>
      <c r="L259" s="639"/>
      <c r="M259" s="62">
        <f>+' -'!$B$11</f>
      </c>
    </row>
    <row r="260" spans="8:13" ht="18.75" customHeight="1" hidden="1">
      <c r="H260" s="608"/>
      <c r="I260" s="639"/>
      <c r="J260" s="639"/>
      <c r="K260" s="639"/>
      <c r="L260" s="639"/>
      <c r="M260" s="62">
        <f>+' -'!$C$12</f>
      </c>
    </row>
    <row r="261" spans="8:13" ht="18.75" customHeight="1" hidden="1">
      <c r="H261" s="608"/>
      <c r="I261" s="1393">
        <f>B171</f>
        <v>39898.06679247685</v>
      </c>
      <c r="J261" s="665"/>
      <c r="K261" s="666"/>
      <c r="L261" s="19" t="s">
        <v>1822</v>
      </c>
      <c r="M261" t="s">
        <v>1151</v>
      </c>
    </row>
    <row r="262" spans="8:12" ht="18.75" customHeight="1" hidden="1">
      <c r="H262" s="608"/>
      <c r="I262" s="666" t="s">
        <v>1138</v>
      </c>
      <c r="J262" s="666"/>
      <c r="K262" s="667"/>
      <c r="L262" s="639"/>
    </row>
    <row r="263" spans="9:12" ht="19.5" customHeight="1" hidden="1">
      <c r="I263" s="60">
        <f>IF(AND(K264=K265,K266=K267),"","   Финансовият резултат в ОПР не съответства на посочения в баланса !!!")</f>
      </c>
      <c r="J263" s="60"/>
      <c r="K263" s="20"/>
      <c r="L263" s="10"/>
    </row>
    <row r="264" spans="9:12" ht="19.5" customHeight="1" hidden="1">
      <c r="I264" s="92" t="s">
        <v>1311</v>
      </c>
      <c r="J264" s="92"/>
      <c r="K264" s="365">
        <f>IF(D128&gt;=0,D128,0)</f>
        <v>103</v>
      </c>
      <c r="L264" s="365">
        <f>IF(E128&gt;=0,E128,0)</f>
        <v>425</v>
      </c>
    </row>
    <row r="265" spans="9:12" ht="19.5" customHeight="1" hidden="1">
      <c r="I265" s="92" t="s">
        <v>1312</v>
      </c>
      <c r="J265" s="92"/>
      <c r="K265" s="365">
        <f>K222</f>
        <v>103</v>
      </c>
      <c r="L265" s="365">
        <f>L222</f>
        <v>425</v>
      </c>
    </row>
    <row r="266" spans="9:12" ht="19.5" customHeight="1" hidden="1">
      <c r="I266" s="92" t="s">
        <v>1310</v>
      </c>
      <c r="J266" s="92"/>
      <c r="K266" s="365">
        <f>IF(D128&lt;0,ABS(D128),0)</f>
        <v>0</v>
      </c>
      <c r="L266" s="365">
        <f>IF(E128&lt;0,ABS(E128),0)</f>
        <v>0</v>
      </c>
    </row>
    <row r="267" spans="9:12" ht="19.5" customHeight="1" hidden="1">
      <c r="I267" s="92" t="s">
        <v>1313</v>
      </c>
      <c r="J267" s="92"/>
      <c r="K267" s="365">
        <f>K257</f>
        <v>0</v>
      </c>
      <c r="L267" s="365">
        <f>L257</f>
        <v>0</v>
      </c>
    </row>
    <row r="268" spans="11:12" ht="19.5" customHeight="1" hidden="1">
      <c r="K268" s="20"/>
      <c r="L268" s="10"/>
    </row>
    <row r="269" spans="9:34" ht="18.75" customHeight="1" hidden="1">
      <c r="I269" s="600" t="str">
        <f>+' -'!$E$21</f>
        <v>Програмата за финансов анализ е лицензирана на:</v>
      </c>
      <c r="J269" s="579"/>
      <c r="K269" s="579"/>
      <c r="N269" s="668"/>
      <c r="O269" s="668"/>
      <c r="P269" s="669"/>
      <c r="Q269" s="669"/>
      <c r="R269" s="669"/>
      <c r="S269" s="669"/>
      <c r="T269" s="669"/>
      <c r="U269" s="669"/>
      <c r="V269" s="62">
        <f>+' -'!$B$11</f>
      </c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spans="9:21" ht="18.75" customHeight="1" hidden="1">
      <c r="I270" s="601"/>
      <c r="J270" s="10"/>
      <c r="K270" s="10"/>
      <c r="N270" s="716" t="s">
        <v>1479</v>
      </c>
      <c r="O270" s="716"/>
      <c r="P270" s="716"/>
      <c r="Q270" s="716"/>
      <c r="R270" s="716"/>
      <c r="S270" s="716"/>
      <c r="T270" s="716"/>
      <c r="U270" s="716"/>
    </row>
    <row r="271" spans="9:21" ht="18.75" customHeight="1" hidden="1">
      <c r="I271" s="600" t="str">
        <f>+' -'!$E$22</f>
        <v>"В И Н З А В О Д"  А Д - гр. АСЕНОВГРАД</v>
      </c>
      <c r="J271" s="579"/>
      <c r="K271" s="579"/>
      <c r="N271" s="669" t="s">
        <v>1261</v>
      </c>
      <c r="O271" s="669"/>
      <c r="P271" s="669"/>
      <c r="Q271" s="669"/>
      <c r="R271" s="669"/>
      <c r="S271" s="669"/>
      <c r="T271" s="669"/>
      <c r="U271" s="669"/>
    </row>
    <row r="272" spans="14:21" ht="18.75" customHeight="1" hidden="1">
      <c r="N272" s="669" t="str">
        <f>+$A$3</f>
        <v>на  "ВИНЗАВОД"  АД - гр. Асеновград  към</v>
      </c>
      <c r="O272" s="669"/>
      <c r="P272" s="669"/>
      <c r="Q272" s="669"/>
      <c r="R272" s="669"/>
      <c r="S272" s="669"/>
      <c r="T272" s="669"/>
      <c r="U272" s="669"/>
    </row>
    <row r="273" spans="9:21" ht="18.75" customHeight="1" hidden="1">
      <c r="I273" s="18"/>
      <c r="J273" s="18"/>
      <c r="K273" s="20"/>
      <c r="L273" s="10"/>
      <c r="N273" s="717">
        <f>$A$4</f>
        <v>39813</v>
      </c>
      <c r="O273" s="717"/>
      <c r="P273" s="717"/>
      <c r="Q273" s="717"/>
      <c r="R273" s="717"/>
      <c r="S273" s="717"/>
      <c r="T273" s="717"/>
      <c r="U273" s="717"/>
    </row>
    <row r="274" spans="9:21" ht="18.75" customHeight="1" hidden="1">
      <c r="I274" s="18"/>
      <c r="J274" s="18"/>
      <c r="K274" s="20"/>
      <c r="L274" s="10"/>
      <c r="N274" s="717"/>
      <c r="O274" s="717"/>
      <c r="P274" s="717"/>
      <c r="Q274" s="717"/>
      <c r="R274" s="717"/>
      <c r="S274" s="717"/>
      <c r="T274" s="717"/>
      <c r="U274" s="718" t="s">
        <v>1561</v>
      </c>
    </row>
    <row r="275" spans="9:34" ht="18.75" customHeight="1" hidden="1">
      <c r="I275" s="18"/>
      <c r="J275" s="18"/>
      <c r="K275" s="20"/>
      <c r="L275" s="10"/>
      <c r="N275" s="719" t="s">
        <v>775</v>
      </c>
      <c r="O275" s="720" t="s">
        <v>282</v>
      </c>
      <c r="P275" s="1526" t="s">
        <v>1184</v>
      </c>
      <c r="Q275" s="1527"/>
      <c r="R275" s="1528"/>
      <c r="S275" s="1526" t="s">
        <v>1027</v>
      </c>
      <c r="T275" s="1527"/>
      <c r="U275" s="1528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</row>
    <row r="276" spans="9:34" ht="18.75" customHeight="1" hidden="1">
      <c r="I276" s="18"/>
      <c r="J276" s="18"/>
      <c r="K276" s="20"/>
      <c r="L276" s="10"/>
      <c r="N276" s="709" t="s">
        <v>776</v>
      </c>
      <c r="O276" s="709" t="s">
        <v>1191</v>
      </c>
      <c r="P276" s="721" t="s">
        <v>1185</v>
      </c>
      <c r="Q276" s="721" t="s">
        <v>1187</v>
      </c>
      <c r="R276" s="721" t="s">
        <v>1189</v>
      </c>
      <c r="S276" s="721" t="s">
        <v>1185</v>
      </c>
      <c r="T276" s="721" t="s">
        <v>1187</v>
      </c>
      <c r="U276" s="721" t="s">
        <v>1189</v>
      </c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</row>
    <row r="277" spans="9:34" ht="18.75" customHeight="1" hidden="1">
      <c r="I277" s="18"/>
      <c r="J277" s="18"/>
      <c r="K277" s="20"/>
      <c r="L277" s="10"/>
      <c r="N277" s="722" t="s">
        <v>1192</v>
      </c>
      <c r="O277" s="722" t="s">
        <v>283</v>
      </c>
      <c r="P277" s="723" t="s">
        <v>1186</v>
      </c>
      <c r="Q277" s="723" t="s">
        <v>1188</v>
      </c>
      <c r="R277" s="723" t="s">
        <v>1190</v>
      </c>
      <c r="S277" s="723" t="s">
        <v>1186</v>
      </c>
      <c r="T277" s="723" t="s">
        <v>1188</v>
      </c>
      <c r="U277" s="723" t="s">
        <v>1190</v>
      </c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</row>
    <row r="278" spans="9:34" ht="18.75" customHeight="1" hidden="1">
      <c r="I278" s="18"/>
      <c r="J278" s="18"/>
      <c r="K278" s="20"/>
      <c r="L278" s="10"/>
      <c r="N278" s="724" t="s">
        <v>1405</v>
      </c>
      <c r="O278" s="724" t="s">
        <v>1558</v>
      </c>
      <c r="P278" s="724">
        <v>1</v>
      </c>
      <c r="Q278" s="724">
        <v>2</v>
      </c>
      <c r="R278" s="724">
        <v>3</v>
      </c>
      <c r="S278" s="724">
        <v>4</v>
      </c>
      <c r="T278" s="724">
        <v>5</v>
      </c>
      <c r="U278" s="724">
        <v>6</v>
      </c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9:34" ht="18" customHeight="1" hidden="1">
      <c r="I279" s="18"/>
      <c r="J279" s="18"/>
      <c r="K279" s="20"/>
      <c r="L279" s="10"/>
      <c r="N279" s="725" t="s">
        <v>1183</v>
      </c>
      <c r="O279" s="726"/>
      <c r="P279" s="727"/>
      <c r="Q279" s="727"/>
      <c r="R279" s="727"/>
      <c r="S279" s="727"/>
      <c r="T279" s="727"/>
      <c r="U279" s="727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9:34" ht="18" customHeight="1" hidden="1">
      <c r="I280" s="18"/>
      <c r="J280" s="18"/>
      <c r="K280" s="20"/>
      <c r="L280" s="10"/>
      <c r="N280" s="728" t="s">
        <v>1028</v>
      </c>
      <c r="O280" s="729"/>
      <c r="P280" s="730"/>
      <c r="Q280" s="730"/>
      <c r="R280" s="730"/>
      <c r="S280" s="730"/>
      <c r="T280" s="730"/>
      <c r="U280" s="730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9:34" ht="18" customHeight="1" hidden="1">
      <c r="I281" s="18"/>
      <c r="J281" s="18"/>
      <c r="K281" s="20"/>
      <c r="L281" s="10"/>
      <c r="N281" s="731" t="s">
        <v>1029</v>
      </c>
      <c r="O281" s="732" t="s">
        <v>777</v>
      </c>
      <c r="P281" s="733">
        <f>ОПП!C10</f>
        <v>7852</v>
      </c>
      <c r="Q281" s="733">
        <f>ОПП!C11*(-1)</f>
        <v>6211</v>
      </c>
      <c r="R281" s="734">
        <f>P281-Q281</f>
        <v>1641</v>
      </c>
      <c r="S281" s="733">
        <f>ОПП!D10</f>
        <v>6731</v>
      </c>
      <c r="T281" s="733">
        <f>ОПП!D11*(-1)</f>
        <v>5062</v>
      </c>
      <c r="U281" s="734">
        <f>S281-T281</f>
        <v>1669</v>
      </c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9:34" ht="18" customHeight="1" hidden="1">
      <c r="I282" s="18"/>
      <c r="J282" s="18"/>
      <c r="K282" s="20"/>
      <c r="L282" s="10"/>
      <c r="N282" s="730" t="s">
        <v>1030</v>
      </c>
      <c r="O282" s="729"/>
      <c r="P282" s="730"/>
      <c r="Q282" s="730"/>
      <c r="R282" s="730"/>
      <c r="S282" s="730"/>
      <c r="T282" s="730"/>
      <c r="U282" s="730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9:34" ht="18" customHeight="1" hidden="1">
      <c r="I283" s="18"/>
      <c r="J283" s="18"/>
      <c r="K283" s="20"/>
      <c r="L283" s="10"/>
      <c r="N283" s="735" t="s">
        <v>1034</v>
      </c>
      <c r="O283" s="732" t="s">
        <v>778</v>
      </c>
      <c r="P283" s="733">
        <f>ОПП!C12</f>
        <v>0</v>
      </c>
      <c r="Q283" s="736">
        <v>0</v>
      </c>
      <c r="R283" s="734">
        <f>P283-Q283</f>
        <v>0</v>
      </c>
      <c r="S283" s="733">
        <f>ОПП!D12</f>
        <v>0</v>
      </c>
      <c r="T283" s="736">
        <v>0</v>
      </c>
      <c r="U283" s="734">
        <f>S283-T283</f>
        <v>0</v>
      </c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9:34" ht="18" customHeight="1" hidden="1">
      <c r="I284" s="18"/>
      <c r="J284" s="18"/>
      <c r="K284" s="20"/>
      <c r="L284" s="10"/>
      <c r="N284" s="737" t="s">
        <v>667</v>
      </c>
      <c r="O284" s="729"/>
      <c r="P284" s="730"/>
      <c r="Q284" s="730"/>
      <c r="R284" s="730"/>
      <c r="S284" s="730"/>
      <c r="T284" s="730"/>
      <c r="U284" s="730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9:34" ht="18" customHeight="1" hidden="1">
      <c r="I285" s="18"/>
      <c r="J285" s="18"/>
      <c r="K285" s="20"/>
      <c r="L285" s="10"/>
      <c r="N285" s="731" t="s">
        <v>1035</v>
      </c>
      <c r="O285" s="732" t="s">
        <v>779</v>
      </c>
      <c r="P285" s="736">
        <v>0</v>
      </c>
      <c r="Q285" s="733">
        <f>ОПП!C13*(-1)</f>
        <v>832</v>
      </c>
      <c r="R285" s="734">
        <f>P285-Q285</f>
        <v>-832</v>
      </c>
      <c r="S285" s="736">
        <v>0</v>
      </c>
      <c r="T285" s="733">
        <f>ОПП!D13*(-1)</f>
        <v>815</v>
      </c>
      <c r="U285" s="734">
        <f>S285-T285</f>
        <v>-815</v>
      </c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9:34" ht="18" customHeight="1" hidden="1">
      <c r="I286" s="18"/>
      <c r="J286" s="18"/>
      <c r="K286" s="20"/>
      <c r="L286" s="10"/>
      <c r="N286" s="728" t="s">
        <v>1031</v>
      </c>
      <c r="O286" s="729"/>
      <c r="P286" s="730"/>
      <c r="Q286" s="730"/>
      <c r="R286" s="730"/>
      <c r="S286" s="730"/>
      <c r="T286" s="730"/>
      <c r="U286" s="730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9:34" ht="18" customHeight="1" hidden="1">
      <c r="I287" s="18"/>
      <c r="J287" s="18"/>
      <c r="K287" s="20"/>
      <c r="L287" s="10"/>
      <c r="N287" s="731" t="s">
        <v>1036</v>
      </c>
      <c r="O287" s="732" t="s">
        <v>668</v>
      </c>
      <c r="P287" s="733">
        <f>ОПП!C16</f>
        <v>94</v>
      </c>
      <c r="Q287" s="733">
        <f>ОПП!C17*(-1)</f>
        <v>396</v>
      </c>
      <c r="R287" s="734">
        <f>P287-Q287</f>
        <v>-302</v>
      </c>
      <c r="S287" s="733">
        <f>ОПП!D16</f>
        <v>0</v>
      </c>
      <c r="T287" s="733">
        <f>ОПП!D17*(-1)</f>
        <v>71</v>
      </c>
      <c r="U287" s="734">
        <f>S287-T287</f>
        <v>-71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9:34" ht="18" customHeight="1" hidden="1">
      <c r="I288" s="18"/>
      <c r="J288" s="18"/>
      <c r="K288" s="20"/>
      <c r="L288" s="10"/>
      <c r="N288" s="728" t="s">
        <v>1032</v>
      </c>
      <c r="O288" s="729"/>
      <c r="P288" s="730"/>
      <c r="Q288" s="730"/>
      <c r="R288" s="730"/>
      <c r="S288" s="730"/>
      <c r="T288" s="730"/>
      <c r="U288" s="730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</row>
    <row r="289" spans="9:34" ht="18" customHeight="1" hidden="1">
      <c r="I289" s="18"/>
      <c r="J289" s="18"/>
      <c r="K289" s="20"/>
      <c r="L289" s="10"/>
      <c r="N289" s="731" t="s">
        <v>2136</v>
      </c>
      <c r="O289" s="732" t="s">
        <v>782</v>
      </c>
      <c r="P289" s="733">
        <f>ОПП!C18</f>
        <v>0</v>
      </c>
      <c r="Q289" s="736">
        <v>0</v>
      </c>
      <c r="R289" s="734">
        <f>P289-Q289</f>
        <v>0</v>
      </c>
      <c r="S289" s="736">
        <v>0</v>
      </c>
      <c r="T289" s="733">
        <f>ОПП!D18*(-1)</f>
        <v>2</v>
      </c>
      <c r="U289" s="734">
        <f>S289-T289</f>
        <v>-2</v>
      </c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</row>
    <row r="290" spans="9:34" ht="18" customHeight="1" hidden="1">
      <c r="I290" s="18"/>
      <c r="J290" s="18"/>
      <c r="K290" s="20"/>
      <c r="L290" s="10"/>
      <c r="N290" s="728" t="s">
        <v>1033</v>
      </c>
      <c r="O290" s="729"/>
      <c r="P290" s="730"/>
      <c r="Q290" s="730"/>
      <c r="R290" s="730"/>
      <c r="S290" s="730"/>
      <c r="T290" s="730"/>
      <c r="U290" s="730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</row>
    <row r="291" spans="9:34" ht="18" customHeight="1" hidden="1">
      <c r="I291" s="18"/>
      <c r="J291" s="18"/>
      <c r="K291" s="20"/>
      <c r="L291" s="10"/>
      <c r="N291" s="731" t="s">
        <v>781</v>
      </c>
      <c r="O291" s="732" t="s">
        <v>780</v>
      </c>
      <c r="P291" s="733">
        <f>ОПП!C14</f>
        <v>-790</v>
      </c>
      <c r="Q291" s="736">
        <v>0</v>
      </c>
      <c r="R291" s="738">
        <f>P291-Q291</f>
        <v>-790</v>
      </c>
      <c r="S291" s="733">
        <f>ОПП!D14</f>
        <v>-169</v>
      </c>
      <c r="T291" s="736">
        <v>0</v>
      </c>
      <c r="U291" s="738">
        <f>S291-T291</f>
        <v>-169</v>
      </c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</row>
    <row r="292" spans="9:34" ht="18" customHeight="1" hidden="1">
      <c r="I292" s="18"/>
      <c r="J292" s="18"/>
      <c r="K292" s="20"/>
      <c r="L292" s="10"/>
      <c r="N292" s="739" t="s">
        <v>669</v>
      </c>
      <c r="O292" s="732" t="s">
        <v>670</v>
      </c>
      <c r="P292" s="736">
        <v>0</v>
      </c>
      <c r="Q292" s="733">
        <f>ОПП!C15*(-1)</f>
        <v>74</v>
      </c>
      <c r="R292" s="734">
        <f>P292-Q292</f>
        <v>-74</v>
      </c>
      <c r="S292" s="736">
        <v>0</v>
      </c>
      <c r="T292" s="733">
        <f>ОПП!D15*(-1)</f>
        <v>8</v>
      </c>
      <c r="U292" s="734">
        <f>S292-T292</f>
        <v>-8</v>
      </c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</row>
    <row r="293" spans="9:34" ht="18" customHeight="1" hidden="1">
      <c r="I293" s="18"/>
      <c r="J293" s="18"/>
      <c r="K293" s="20"/>
      <c r="L293" s="10"/>
      <c r="N293" s="725" t="s">
        <v>2372</v>
      </c>
      <c r="O293" s="732" t="s">
        <v>783</v>
      </c>
      <c r="P293" s="736">
        <v>0</v>
      </c>
      <c r="Q293" s="733">
        <f>ОПП!C19*(-1)</f>
        <v>-5</v>
      </c>
      <c r="R293" s="734">
        <f>P293-Q293</f>
        <v>5</v>
      </c>
      <c r="S293" s="736">
        <v>0</v>
      </c>
      <c r="T293" s="733">
        <f>ОПП!D19*(-1)</f>
        <v>-22</v>
      </c>
      <c r="U293" s="734">
        <f>S293-T293</f>
        <v>22</v>
      </c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</row>
    <row r="294" spans="9:34" ht="18" customHeight="1" hidden="1">
      <c r="I294" s="18"/>
      <c r="J294" s="18"/>
      <c r="K294" s="20"/>
      <c r="L294" s="10"/>
      <c r="N294" s="725" t="s">
        <v>2373</v>
      </c>
      <c r="O294" s="740" t="s">
        <v>800</v>
      </c>
      <c r="P294" s="725">
        <f>P281+P283+P285+P287+P289+P291+P292+P293</f>
        <v>7156</v>
      </c>
      <c r="Q294" s="725">
        <f>Q281+Q283+Q285+Q287+Q289+Q291+Q292+Q293</f>
        <v>7508</v>
      </c>
      <c r="R294" s="734">
        <f>P294-Q294</f>
        <v>-352</v>
      </c>
      <c r="S294" s="725">
        <f>S281+S283+S285+S287+S289+S291+S292+S293</f>
        <v>6562</v>
      </c>
      <c r="T294" s="725">
        <f>T281+T283+T285+T287+T289+T291+T292+T293</f>
        <v>5936</v>
      </c>
      <c r="U294" s="734">
        <f>S294-T294</f>
        <v>626</v>
      </c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</row>
    <row r="295" spans="9:34" ht="18" customHeight="1" hidden="1">
      <c r="I295" s="18"/>
      <c r="J295" s="18"/>
      <c r="K295" s="20"/>
      <c r="L295" s="10"/>
      <c r="N295" s="725" t="s">
        <v>2374</v>
      </c>
      <c r="O295" s="726"/>
      <c r="P295" s="725"/>
      <c r="Q295" s="725"/>
      <c r="R295" s="725"/>
      <c r="S295" s="725"/>
      <c r="T295" s="725"/>
      <c r="U295" s="725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</row>
    <row r="296" spans="9:34" ht="18" customHeight="1" hidden="1">
      <c r="I296" s="18"/>
      <c r="J296" s="18"/>
      <c r="K296" s="20"/>
      <c r="L296" s="10"/>
      <c r="N296" s="728" t="s">
        <v>2375</v>
      </c>
      <c r="O296" s="729"/>
      <c r="P296" s="730"/>
      <c r="Q296" s="730"/>
      <c r="R296" s="730"/>
      <c r="S296" s="730"/>
      <c r="T296" s="730"/>
      <c r="U296" s="730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</row>
    <row r="297" spans="9:34" ht="18" customHeight="1" hidden="1">
      <c r="I297" s="18"/>
      <c r="J297" s="18"/>
      <c r="K297" s="20"/>
      <c r="L297" s="10"/>
      <c r="N297" s="731" t="s">
        <v>2376</v>
      </c>
      <c r="O297" s="732" t="s">
        <v>671</v>
      </c>
      <c r="P297" s="733">
        <f>ОПП!C23</f>
        <v>0</v>
      </c>
      <c r="Q297" s="733">
        <f>ОПП!C22*(-1)</f>
        <v>246</v>
      </c>
      <c r="R297" s="734">
        <f>P297-Q297</f>
        <v>-246</v>
      </c>
      <c r="S297" s="733">
        <f>ОПП!D23</f>
        <v>0</v>
      </c>
      <c r="T297" s="733">
        <f>ОПП!D22*(-1)</f>
        <v>56</v>
      </c>
      <c r="U297" s="734">
        <f>S297-T297</f>
        <v>-56</v>
      </c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</row>
    <row r="298" spans="9:34" ht="18" customHeight="1" hidden="1">
      <c r="I298" s="18"/>
      <c r="J298" s="18"/>
      <c r="K298" s="20"/>
      <c r="L298" s="10"/>
      <c r="N298" s="728" t="s">
        <v>1553</v>
      </c>
      <c r="O298" s="729"/>
      <c r="P298" s="730"/>
      <c r="Q298" s="730"/>
      <c r="R298" s="730"/>
      <c r="S298" s="730"/>
      <c r="T298" s="730"/>
      <c r="U298" s="730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</row>
    <row r="299" spans="9:34" ht="18" customHeight="1" hidden="1">
      <c r="I299" s="18"/>
      <c r="J299" s="18"/>
      <c r="K299" s="20"/>
      <c r="L299" s="10"/>
      <c r="N299" s="731" t="s">
        <v>1554</v>
      </c>
      <c r="O299" s="741" t="s">
        <v>672</v>
      </c>
      <c r="P299" s="733">
        <f>ОПП!C25</f>
        <v>0</v>
      </c>
      <c r="Q299" s="733">
        <f>ОПП!C24*(-1)</f>
        <v>0</v>
      </c>
      <c r="R299" s="734">
        <f>P299-Q299</f>
        <v>0</v>
      </c>
      <c r="S299" s="733">
        <f>ОПП!D25</f>
        <v>0</v>
      </c>
      <c r="T299" s="733">
        <f>ОПП!D24*(-1)</f>
        <v>0</v>
      </c>
      <c r="U299" s="734">
        <f>S299-T299</f>
        <v>0</v>
      </c>
      <c r="V299" s="575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</row>
    <row r="300" spans="9:34" ht="18" customHeight="1" hidden="1">
      <c r="I300" s="18"/>
      <c r="J300" s="18"/>
      <c r="K300" s="20"/>
      <c r="L300" s="10"/>
      <c r="N300" s="742" t="s">
        <v>2377</v>
      </c>
      <c r="O300" s="743"/>
      <c r="P300" s="744"/>
      <c r="Q300" s="730"/>
      <c r="R300" s="730"/>
      <c r="S300" s="730"/>
      <c r="T300" s="730"/>
      <c r="U300" s="730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</row>
    <row r="301" spans="9:34" ht="18" customHeight="1" hidden="1">
      <c r="I301" s="18"/>
      <c r="J301" s="18"/>
      <c r="K301" s="20"/>
      <c r="L301" s="10"/>
      <c r="N301" s="745" t="s">
        <v>1036</v>
      </c>
      <c r="O301" s="732" t="s">
        <v>673</v>
      </c>
      <c r="P301" s="733">
        <f>ОПП!C26</f>
        <v>0</v>
      </c>
      <c r="Q301" s="736">
        <v>0</v>
      </c>
      <c r="R301" s="734">
        <f>P301-Q301</f>
        <v>0</v>
      </c>
      <c r="S301" s="733">
        <f>ОПП!D26</f>
        <v>0</v>
      </c>
      <c r="T301" s="736">
        <v>0</v>
      </c>
      <c r="U301" s="734">
        <f>S301-T301</f>
        <v>0</v>
      </c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</row>
    <row r="302" spans="9:34" ht="18" customHeight="1" hidden="1">
      <c r="I302" s="18"/>
      <c r="J302" s="18"/>
      <c r="K302" s="20"/>
      <c r="L302" s="10"/>
      <c r="N302" s="737" t="s">
        <v>677</v>
      </c>
      <c r="O302" s="729"/>
      <c r="P302" s="730"/>
      <c r="Q302" s="730"/>
      <c r="R302" s="730"/>
      <c r="S302" s="730"/>
      <c r="T302" s="730"/>
      <c r="U302" s="730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</row>
    <row r="303" spans="9:34" ht="18" customHeight="1" hidden="1">
      <c r="I303" s="18"/>
      <c r="J303" s="18"/>
      <c r="K303" s="20"/>
      <c r="L303" s="10"/>
      <c r="N303" s="746" t="s">
        <v>676</v>
      </c>
      <c r="O303" s="747" t="s">
        <v>678</v>
      </c>
      <c r="P303" s="733">
        <f>ОПП!C27+ОПП!C28</f>
        <v>0</v>
      </c>
      <c r="Q303" s="736">
        <v>0</v>
      </c>
      <c r="R303" s="734">
        <f>P303-Q303</f>
        <v>0</v>
      </c>
      <c r="S303" s="733">
        <f>ОПП!D27+ОПП!D28</f>
        <v>0</v>
      </c>
      <c r="T303" s="736">
        <v>0</v>
      </c>
      <c r="U303" s="734">
        <f>S303-T303</f>
        <v>0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</row>
    <row r="304" spans="9:34" ht="18" customHeight="1" hidden="1">
      <c r="I304" s="18"/>
      <c r="J304" s="18"/>
      <c r="K304" s="20"/>
      <c r="L304" s="10"/>
      <c r="N304" s="728" t="s">
        <v>1032</v>
      </c>
      <c r="O304" s="729"/>
      <c r="P304" s="730"/>
      <c r="Q304" s="730"/>
      <c r="R304" s="730"/>
      <c r="S304" s="730"/>
      <c r="T304" s="730"/>
      <c r="U304" s="730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</row>
    <row r="305" spans="9:34" ht="18" customHeight="1" hidden="1">
      <c r="I305" s="18"/>
      <c r="J305" s="18"/>
      <c r="K305" s="20"/>
      <c r="L305" s="10"/>
      <c r="N305" s="731" t="s">
        <v>2136</v>
      </c>
      <c r="O305" s="732" t="s">
        <v>674</v>
      </c>
      <c r="P305" s="733">
        <f>ОПП!C30</f>
        <v>0</v>
      </c>
      <c r="Q305" s="736">
        <v>0</v>
      </c>
      <c r="R305" s="734">
        <f>P305-Q305</f>
        <v>0</v>
      </c>
      <c r="S305" s="733">
        <f>ОПП!D30</f>
        <v>0</v>
      </c>
      <c r="T305" s="736">
        <v>0</v>
      </c>
      <c r="U305" s="734">
        <f>S305-T305</f>
        <v>0</v>
      </c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</row>
    <row r="306" spans="9:34" ht="18" customHeight="1" hidden="1">
      <c r="I306" s="18"/>
      <c r="J306" s="18"/>
      <c r="K306" s="20"/>
      <c r="L306" s="10"/>
      <c r="N306" s="748" t="s">
        <v>799</v>
      </c>
      <c r="O306" s="749" t="s">
        <v>679</v>
      </c>
      <c r="P306" s="733">
        <f>ОПП!C29</f>
        <v>0</v>
      </c>
      <c r="Q306" s="750">
        <v>0</v>
      </c>
      <c r="R306" s="738">
        <f>P306-Q306</f>
        <v>0</v>
      </c>
      <c r="S306" s="733">
        <f>ОПП!D29</f>
        <v>0</v>
      </c>
      <c r="T306" s="750">
        <v>0</v>
      </c>
      <c r="U306" s="738">
        <f>S306-T306</f>
        <v>0</v>
      </c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</row>
    <row r="307" spans="9:34" ht="18" customHeight="1" hidden="1">
      <c r="I307" s="18"/>
      <c r="J307" s="18"/>
      <c r="K307" s="20"/>
      <c r="L307" s="10"/>
      <c r="N307" s="725" t="s">
        <v>680</v>
      </c>
      <c r="O307" s="732" t="s">
        <v>675</v>
      </c>
      <c r="P307" s="733">
        <f>ОПП!C31</f>
        <v>0</v>
      </c>
      <c r="Q307" s="736">
        <v>0</v>
      </c>
      <c r="R307" s="734">
        <f>P307-Q307</f>
        <v>0</v>
      </c>
      <c r="S307" s="733">
        <f>ОПП!D31</f>
        <v>0</v>
      </c>
      <c r="T307" s="736">
        <v>0</v>
      </c>
      <c r="U307" s="734">
        <f>S307-T307</f>
        <v>0</v>
      </c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9:34" ht="18" customHeight="1" hidden="1">
      <c r="I308" s="18"/>
      <c r="J308" s="18"/>
      <c r="K308" s="20"/>
      <c r="L308" s="10"/>
      <c r="N308" s="725" t="s">
        <v>2378</v>
      </c>
      <c r="O308" s="740" t="s">
        <v>801</v>
      </c>
      <c r="P308" s="725">
        <f>P297+P299+P301+P303+P305+P306+P307</f>
        <v>0</v>
      </c>
      <c r="Q308" s="725">
        <f>Q297+Q299+Q301+Q303+Q305+Q306+Q307</f>
        <v>246</v>
      </c>
      <c r="R308" s="734">
        <f>P308-Q308</f>
        <v>-246</v>
      </c>
      <c r="S308" s="725">
        <f>S297+S299+S301+S303+S305+S306+S307</f>
        <v>0</v>
      </c>
      <c r="T308" s="725">
        <f>T297+T299+T301+T303+T305+T306+T307</f>
        <v>56</v>
      </c>
      <c r="U308" s="734">
        <f>S308-T308</f>
        <v>-56</v>
      </c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9:34" ht="8.25" customHeight="1" hidden="1">
      <c r="I309" s="18"/>
      <c r="J309" s="18"/>
      <c r="K309" s="20"/>
      <c r="L309" s="10"/>
      <c r="N309" s="751"/>
      <c r="O309" s="751"/>
      <c r="P309" s="751"/>
      <c r="Q309" s="751"/>
      <c r="R309" s="751"/>
      <c r="S309" s="751"/>
      <c r="T309" s="751"/>
      <c r="U309" s="751"/>
      <c r="V309" s="62">
        <f>+' -'!$B$11</f>
      </c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spans="9:34" ht="19.5" customHeight="1" hidden="1">
      <c r="I310" s="18"/>
      <c r="J310" s="18"/>
      <c r="K310" s="20"/>
      <c r="L310" s="10"/>
      <c r="N310" s="751"/>
      <c r="O310" s="751"/>
      <c r="P310" s="751"/>
      <c r="Q310" s="751"/>
      <c r="R310" s="751"/>
      <c r="S310" s="751"/>
      <c r="T310" s="751"/>
      <c r="U310" s="718" t="s">
        <v>1561</v>
      </c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9:34" ht="21.75" customHeight="1" hidden="1">
      <c r="I311" s="18"/>
      <c r="J311" s="18"/>
      <c r="K311" s="20"/>
      <c r="L311" s="10"/>
      <c r="N311" s="719" t="s">
        <v>775</v>
      </c>
      <c r="O311" s="720" t="s">
        <v>282</v>
      </c>
      <c r="P311" s="1529" t="str">
        <f>$P$275</f>
        <v>Текущ период</v>
      </c>
      <c r="Q311" s="1530"/>
      <c r="R311" s="1531"/>
      <c r="S311" s="1529" t="str">
        <f>$S$275</f>
        <v>Предходен период</v>
      </c>
      <c r="T311" s="1530"/>
      <c r="U311" s="1531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9:34" ht="21.75" customHeight="1" hidden="1">
      <c r="I312" s="18"/>
      <c r="J312" s="18"/>
      <c r="K312" s="20"/>
      <c r="L312" s="10"/>
      <c r="N312" s="709" t="s">
        <v>776</v>
      </c>
      <c r="O312" s="709" t="s">
        <v>1191</v>
      </c>
      <c r="P312" s="721" t="s">
        <v>1185</v>
      </c>
      <c r="Q312" s="721" t="s">
        <v>1187</v>
      </c>
      <c r="R312" s="721" t="s">
        <v>1189</v>
      </c>
      <c r="S312" s="721" t="s">
        <v>1185</v>
      </c>
      <c r="T312" s="721" t="s">
        <v>1187</v>
      </c>
      <c r="U312" s="721" t="s">
        <v>1189</v>
      </c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9:34" ht="21.75" customHeight="1" hidden="1">
      <c r="I313" s="18"/>
      <c r="J313" s="18"/>
      <c r="K313" s="20"/>
      <c r="L313" s="10"/>
      <c r="N313" s="722" t="s">
        <v>1192</v>
      </c>
      <c r="O313" s="722" t="s">
        <v>283</v>
      </c>
      <c r="P313" s="723" t="s">
        <v>1186</v>
      </c>
      <c r="Q313" s="723" t="s">
        <v>1188</v>
      </c>
      <c r="R313" s="723" t="s">
        <v>1190</v>
      </c>
      <c r="S313" s="723" t="s">
        <v>1186</v>
      </c>
      <c r="T313" s="723" t="s">
        <v>1188</v>
      </c>
      <c r="U313" s="723" t="s">
        <v>1190</v>
      </c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9:34" ht="21.75" customHeight="1" hidden="1">
      <c r="I314" s="18"/>
      <c r="J314" s="18"/>
      <c r="K314" s="20"/>
      <c r="L314" s="10"/>
      <c r="N314" s="724" t="s">
        <v>1405</v>
      </c>
      <c r="O314" s="724" t="s">
        <v>1558</v>
      </c>
      <c r="P314" s="724">
        <v>1</v>
      </c>
      <c r="Q314" s="724">
        <v>2</v>
      </c>
      <c r="R314" s="724">
        <v>3</v>
      </c>
      <c r="S314" s="724">
        <v>4</v>
      </c>
      <c r="T314" s="724">
        <v>5</v>
      </c>
      <c r="U314" s="724">
        <v>6</v>
      </c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9:34" ht="21.75" customHeight="1" hidden="1">
      <c r="I315" s="18"/>
      <c r="J315" s="18"/>
      <c r="K315" s="20"/>
      <c r="L315" s="10"/>
      <c r="N315" s="725" t="s">
        <v>1560</v>
      </c>
      <c r="O315" s="726"/>
      <c r="P315" s="725"/>
      <c r="Q315" s="725"/>
      <c r="R315" s="725"/>
      <c r="S315" s="725"/>
      <c r="T315" s="725"/>
      <c r="U315" s="725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9:34" ht="21.75" customHeight="1" hidden="1">
      <c r="I316" s="18"/>
      <c r="J316" s="18"/>
      <c r="K316" s="20"/>
      <c r="L316" s="10"/>
      <c r="N316" s="728" t="s">
        <v>1534</v>
      </c>
      <c r="O316" s="721"/>
      <c r="P316" s="730"/>
      <c r="Q316" s="730"/>
      <c r="R316" s="730"/>
      <c r="S316" s="730"/>
      <c r="T316" s="730"/>
      <c r="U316" s="730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9:34" ht="21.75" customHeight="1" hidden="1">
      <c r="I317" s="18"/>
      <c r="J317" s="18"/>
      <c r="K317" s="20"/>
      <c r="L317" s="10"/>
      <c r="N317" s="731" t="s">
        <v>1682</v>
      </c>
      <c r="O317" s="749" t="s">
        <v>802</v>
      </c>
      <c r="P317" s="733">
        <f>ОПП!C34</f>
        <v>0</v>
      </c>
      <c r="Q317" s="733">
        <f>ОПП!C35*(-1)</f>
        <v>0</v>
      </c>
      <c r="R317" s="734">
        <f>P317-Q317</f>
        <v>0</v>
      </c>
      <c r="S317" s="733">
        <f>ОПП!D34</f>
        <v>0</v>
      </c>
      <c r="T317" s="733">
        <f>ОПП!D35*(-1)</f>
        <v>0</v>
      </c>
      <c r="U317" s="734">
        <f>S317-T317</f>
        <v>0</v>
      </c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</row>
    <row r="318" spans="9:34" ht="21.75" customHeight="1" hidden="1">
      <c r="I318" s="18"/>
      <c r="J318" s="18"/>
      <c r="K318" s="20"/>
      <c r="L318" s="10"/>
      <c r="N318" s="728" t="s">
        <v>1196</v>
      </c>
      <c r="O318" s="721"/>
      <c r="P318" s="730"/>
      <c r="Q318" s="730"/>
      <c r="R318" s="730"/>
      <c r="S318" s="730"/>
      <c r="T318" s="730"/>
      <c r="U318" s="730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</row>
    <row r="319" spans="9:34" ht="21.75" customHeight="1" hidden="1">
      <c r="I319" s="18"/>
      <c r="J319" s="18"/>
      <c r="K319" s="20"/>
      <c r="L319" s="10"/>
      <c r="N319" s="731" t="s">
        <v>1197</v>
      </c>
      <c r="O319" s="723"/>
      <c r="P319" s="736">
        <v>0</v>
      </c>
      <c r="Q319" s="736">
        <v>0</v>
      </c>
      <c r="R319" s="734">
        <f>P319-Q319</f>
        <v>0</v>
      </c>
      <c r="S319" s="736">
        <v>0</v>
      </c>
      <c r="T319" s="736">
        <v>0</v>
      </c>
      <c r="U319" s="734">
        <f>S319-T319</f>
        <v>0</v>
      </c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</row>
    <row r="320" spans="9:34" ht="21.75" customHeight="1" hidden="1">
      <c r="I320" s="18"/>
      <c r="J320" s="18"/>
      <c r="K320" s="20"/>
      <c r="L320" s="10"/>
      <c r="N320" s="728" t="s">
        <v>1198</v>
      </c>
      <c r="O320" s="721"/>
      <c r="P320" s="730"/>
      <c r="Q320" s="730"/>
      <c r="R320" s="730"/>
      <c r="S320" s="730"/>
      <c r="T320" s="730"/>
      <c r="U320" s="730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</row>
    <row r="321" spans="9:34" ht="21.75" customHeight="1" hidden="1">
      <c r="I321" s="18"/>
      <c r="J321" s="18"/>
      <c r="K321" s="20"/>
      <c r="L321" s="10"/>
      <c r="N321" s="731" t="s">
        <v>1199</v>
      </c>
      <c r="O321" s="749" t="s">
        <v>803</v>
      </c>
      <c r="P321" s="733">
        <f>ОПП!C36</f>
        <v>7198</v>
      </c>
      <c r="Q321" s="733">
        <f>ОПП!C37*(-1)</f>
        <v>4845</v>
      </c>
      <c r="R321" s="734">
        <f>P321-Q321</f>
        <v>2353</v>
      </c>
      <c r="S321" s="733">
        <f>ОПП!D36</f>
        <v>2253</v>
      </c>
      <c r="T321" s="733">
        <f>ОПП!D37*(-1)</f>
        <v>2550</v>
      </c>
      <c r="U321" s="734">
        <f>S321-T321</f>
        <v>-297</v>
      </c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</row>
    <row r="322" spans="9:34" ht="21.75" customHeight="1" hidden="1">
      <c r="I322" s="18"/>
      <c r="J322" s="18"/>
      <c r="K322" s="20"/>
      <c r="L322" s="10"/>
      <c r="N322" s="752" t="s">
        <v>1031</v>
      </c>
      <c r="O322" s="753"/>
      <c r="P322" s="730"/>
      <c r="Q322" s="730"/>
      <c r="R322" s="730"/>
      <c r="S322" s="730"/>
      <c r="T322" s="730"/>
      <c r="U322" s="730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</row>
    <row r="323" spans="9:34" ht="21.75" customHeight="1" hidden="1">
      <c r="I323" s="18"/>
      <c r="J323" s="18"/>
      <c r="K323" s="20"/>
      <c r="L323" s="10"/>
      <c r="N323" s="754" t="s">
        <v>1036</v>
      </c>
      <c r="O323" s="755" t="s">
        <v>884</v>
      </c>
      <c r="P323" s="736">
        <v>0</v>
      </c>
      <c r="Q323" s="733">
        <f>ОПП!C39*(-1)</f>
        <v>0</v>
      </c>
      <c r="R323" s="734">
        <f>P323-Q323</f>
        <v>0</v>
      </c>
      <c r="S323" s="736">
        <v>0</v>
      </c>
      <c r="T323" s="733">
        <f>ОПП!D39*(-1)</f>
        <v>210</v>
      </c>
      <c r="U323" s="734">
        <f>S323-T323</f>
        <v>-210</v>
      </c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</row>
    <row r="324" spans="9:34" ht="21.75" customHeight="1" hidden="1">
      <c r="I324" s="18"/>
      <c r="J324" s="18"/>
      <c r="K324" s="20"/>
      <c r="L324" s="10"/>
      <c r="N324" s="728" t="s">
        <v>1200</v>
      </c>
      <c r="O324" s="721"/>
      <c r="P324" s="730"/>
      <c r="Q324" s="730"/>
      <c r="R324" s="730"/>
      <c r="S324" s="730"/>
      <c r="T324" s="730"/>
      <c r="U324" s="730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</row>
    <row r="325" spans="9:34" ht="21.75" customHeight="1" hidden="1">
      <c r="I325" s="18"/>
      <c r="J325" s="18"/>
      <c r="K325" s="20"/>
      <c r="L325" s="10"/>
      <c r="N325" s="731" t="s">
        <v>1631</v>
      </c>
      <c r="O325" s="749" t="s">
        <v>804</v>
      </c>
      <c r="P325" s="736">
        <v>0</v>
      </c>
      <c r="Q325" s="733">
        <f>ОПП!C38*(-1)</f>
        <v>0</v>
      </c>
      <c r="R325" s="734">
        <f>P325-Q325</f>
        <v>0</v>
      </c>
      <c r="S325" s="736">
        <v>0</v>
      </c>
      <c r="T325" s="733">
        <f>ОПП!D38*(-1)</f>
        <v>0</v>
      </c>
      <c r="U325" s="734">
        <f>S325-T325</f>
        <v>0</v>
      </c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</row>
    <row r="326" spans="9:34" ht="21.75" customHeight="1" hidden="1">
      <c r="I326" s="18"/>
      <c r="J326" s="18"/>
      <c r="K326" s="20"/>
      <c r="L326" s="10"/>
      <c r="N326" s="754" t="s">
        <v>882</v>
      </c>
      <c r="O326" s="755" t="s">
        <v>883</v>
      </c>
      <c r="P326" s="736">
        <v>0</v>
      </c>
      <c r="Q326" s="733">
        <f>ОПП!C40*(-1)</f>
        <v>0</v>
      </c>
      <c r="R326" s="734">
        <f>P326-Q326</f>
        <v>0</v>
      </c>
      <c r="S326" s="736">
        <v>0</v>
      </c>
      <c r="T326" s="733">
        <f>ОПП!D40*(-1)</f>
        <v>0</v>
      </c>
      <c r="U326" s="734">
        <f>S326-T326</f>
        <v>0</v>
      </c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</row>
    <row r="327" spans="9:34" ht="21.75" customHeight="1" hidden="1">
      <c r="I327" s="18"/>
      <c r="J327" s="18"/>
      <c r="K327" s="20"/>
      <c r="L327" s="10"/>
      <c r="N327" s="725" t="s">
        <v>1689</v>
      </c>
      <c r="O327" s="749" t="s">
        <v>805</v>
      </c>
      <c r="P327" s="733">
        <f>ОПП!C41</f>
        <v>-1869</v>
      </c>
      <c r="Q327" s="736">
        <v>0</v>
      </c>
      <c r="R327" s="734">
        <f>P327-Q327</f>
        <v>-1869</v>
      </c>
      <c r="S327" s="733">
        <f>ОПП!D41</f>
        <v>0</v>
      </c>
      <c r="T327" s="736">
        <v>0</v>
      </c>
      <c r="U327" s="734">
        <f>S327-T327</f>
        <v>0</v>
      </c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</row>
    <row r="328" spans="9:34" ht="21.75" customHeight="1" hidden="1">
      <c r="I328" s="18"/>
      <c r="J328" s="18"/>
      <c r="K328" s="20"/>
      <c r="L328" s="10"/>
      <c r="N328" s="725" t="s">
        <v>1690</v>
      </c>
      <c r="O328" s="740" t="s">
        <v>885</v>
      </c>
      <c r="P328" s="725">
        <f>P317+P319+P321+P323+P325+P326+P327</f>
        <v>5329</v>
      </c>
      <c r="Q328" s="725">
        <f>Q317+Q319+Q321+Q323+Q325+Q326+Q327</f>
        <v>4845</v>
      </c>
      <c r="R328" s="734">
        <f>P328-Q328</f>
        <v>484</v>
      </c>
      <c r="S328" s="725">
        <f>S317+S319+S321+S323+S325+S326+S327</f>
        <v>2253</v>
      </c>
      <c r="T328" s="725">
        <f>T317+T319+T321+T323+T325+T326+T327</f>
        <v>2760</v>
      </c>
      <c r="U328" s="734">
        <f>S328-T328</f>
        <v>-507</v>
      </c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</row>
    <row r="329" spans="9:34" ht="21.75" customHeight="1" hidden="1">
      <c r="I329" s="18"/>
      <c r="J329" s="18"/>
      <c r="K329" s="20"/>
      <c r="L329" s="10"/>
      <c r="N329" s="728" t="s">
        <v>1691</v>
      </c>
      <c r="O329" s="721"/>
      <c r="P329" s="730"/>
      <c r="Q329" s="730"/>
      <c r="R329" s="730"/>
      <c r="S329" s="730"/>
      <c r="T329" s="730"/>
      <c r="U329" s="730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</row>
    <row r="330" spans="9:34" ht="21.75" customHeight="1" hidden="1">
      <c r="I330" s="18"/>
      <c r="J330" s="18"/>
      <c r="K330" s="20"/>
      <c r="L330" s="10"/>
      <c r="N330" s="731" t="s">
        <v>1692</v>
      </c>
      <c r="O330" s="740" t="s">
        <v>886</v>
      </c>
      <c r="P330" s="735">
        <f aca="true" t="shared" si="0" ref="P330:U330">P294+P308+P328</f>
        <v>12485</v>
      </c>
      <c r="Q330" s="735">
        <f t="shared" si="0"/>
        <v>12599</v>
      </c>
      <c r="R330" s="756">
        <f t="shared" si="0"/>
        <v>-114</v>
      </c>
      <c r="S330" s="735">
        <f t="shared" si="0"/>
        <v>8815</v>
      </c>
      <c r="T330" s="735">
        <f t="shared" si="0"/>
        <v>8752</v>
      </c>
      <c r="U330" s="756">
        <f t="shared" si="0"/>
        <v>63</v>
      </c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</row>
    <row r="331" spans="9:34" ht="21.75" customHeight="1" hidden="1">
      <c r="I331" s="18"/>
      <c r="J331" s="18"/>
      <c r="K331" s="20"/>
      <c r="L331" s="10"/>
      <c r="N331" s="725" t="s">
        <v>1559</v>
      </c>
      <c r="O331" s="740" t="s">
        <v>887</v>
      </c>
      <c r="P331" s="725"/>
      <c r="Q331" s="725"/>
      <c r="R331" s="757">
        <f>ОПП!C44</f>
        <v>239</v>
      </c>
      <c r="S331" s="725"/>
      <c r="T331" s="725"/>
      <c r="U331" s="733">
        <f>ОПП!D44</f>
        <v>176</v>
      </c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</row>
    <row r="332" spans="9:34" ht="21.75" customHeight="1" hidden="1">
      <c r="I332" s="18"/>
      <c r="J332" s="18"/>
      <c r="K332" s="20"/>
      <c r="L332" s="10"/>
      <c r="N332" s="725" t="s">
        <v>891</v>
      </c>
      <c r="O332" s="740" t="s">
        <v>888</v>
      </c>
      <c r="P332" s="725"/>
      <c r="Q332" s="725"/>
      <c r="R332" s="734">
        <f>R331+R330</f>
        <v>125</v>
      </c>
      <c r="S332" s="725"/>
      <c r="T332" s="725"/>
      <c r="U332" s="734">
        <f>U331+U330</f>
        <v>239</v>
      </c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</row>
    <row r="333" spans="9:34" ht="21.75" customHeight="1" hidden="1">
      <c r="I333" s="18"/>
      <c r="J333" s="18"/>
      <c r="K333" s="20"/>
      <c r="L333" s="10"/>
      <c r="N333" s="758" t="s">
        <v>892</v>
      </c>
      <c r="O333" s="740" t="s">
        <v>889</v>
      </c>
      <c r="P333" s="725"/>
      <c r="Q333" s="725"/>
      <c r="R333" s="733">
        <f>ОПП!C46</f>
        <v>125</v>
      </c>
      <c r="S333" s="725"/>
      <c r="T333" s="725"/>
      <c r="U333" s="733">
        <f>ОПП!D46</f>
        <v>239</v>
      </c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</row>
    <row r="334" spans="9:34" ht="21.75" customHeight="1" hidden="1">
      <c r="I334" s="18"/>
      <c r="J334" s="18"/>
      <c r="K334" s="20"/>
      <c r="L334" s="10"/>
      <c r="N334" s="758" t="s">
        <v>1847</v>
      </c>
      <c r="O334" s="740" t="s">
        <v>890</v>
      </c>
      <c r="P334" s="725"/>
      <c r="Q334" s="725"/>
      <c r="R334" s="733">
        <f>ОПП!C47</f>
        <v>0</v>
      </c>
      <c r="S334" s="725"/>
      <c r="T334" s="725"/>
      <c r="U334" s="733">
        <f>ОПП!D47</f>
        <v>0</v>
      </c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</row>
    <row r="335" spans="9:34" ht="21.75" customHeight="1" hidden="1">
      <c r="I335" s="18"/>
      <c r="J335" s="18"/>
      <c r="K335" s="20"/>
      <c r="L335" s="10"/>
      <c r="N335" s="751"/>
      <c r="O335" s="751"/>
      <c r="P335" s="751"/>
      <c r="Q335" s="751"/>
      <c r="R335" s="751"/>
      <c r="S335" s="751"/>
      <c r="T335" s="751"/>
      <c r="U335" s="751"/>
      <c r="V335" s="62">
        <f>+' -'!$B$11</f>
      </c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spans="9:34" ht="21.75" customHeight="1" hidden="1">
      <c r="I336" s="18"/>
      <c r="J336" s="18"/>
      <c r="K336" s="20"/>
      <c r="L336" s="10"/>
      <c r="N336" s="751"/>
      <c r="O336" s="751"/>
      <c r="P336" s="751"/>
      <c r="Q336" s="751"/>
      <c r="R336" s="751"/>
      <c r="S336" s="751"/>
      <c r="T336" s="751"/>
      <c r="U336" s="751"/>
      <c r="V336" s="62">
        <f>+' -'!$C$12</f>
      </c>
      <c r="W336" s="62"/>
      <c r="X336" s="600" t="str">
        <f>+' -'!$E$21</f>
        <v>Програмата за финансов анализ е лицензирана на:</v>
      </c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spans="9:34" ht="21.75" customHeight="1" hidden="1">
      <c r="I337" s="18"/>
      <c r="J337" s="18"/>
      <c r="K337" s="20"/>
      <c r="L337" s="10"/>
      <c r="N337" s="1392">
        <f>B171</f>
        <v>39898.06679247685</v>
      </c>
      <c r="O337" s="665"/>
      <c r="P337" s="751"/>
      <c r="Q337" s="751"/>
      <c r="R337" s="751"/>
      <c r="S337" s="751"/>
      <c r="T337" s="751"/>
      <c r="U337" s="751"/>
      <c r="V337" s="29"/>
      <c r="W337" s="29"/>
      <c r="X337" s="601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9:34" ht="21.75" customHeight="1" hidden="1">
      <c r="I338" s="18"/>
      <c r="J338" s="18"/>
      <c r="K338" s="20"/>
      <c r="L338" s="10"/>
      <c r="N338" s="666" t="s">
        <v>1139</v>
      </c>
      <c r="O338" s="666"/>
      <c r="P338" s="751"/>
      <c r="Q338" s="751"/>
      <c r="R338" s="751"/>
      <c r="S338" s="751"/>
      <c r="T338" s="751"/>
      <c r="U338" s="751"/>
      <c r="V338" s="29"/>
      <c r="W338" s="29"/>
      <c r="X338" s="600" t="str">
        <f>+' -'!$E$22</f>
        <v>"В И Н З А В О Д"  А Д - гр. АСЕНОВГРАД</v>
      </c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9:34" ht="19.5" customHeight="1" hidden="1">
      <c r="I339" s="18"/>
      <c r="J339" s="18"/>
      <c r="K339" s="20"/>
      <c r="L339" s="10"/>
      <c r="N339" s="18"/>
      <c r="O339" s="18"/>
      <c r="P339" s="32"/>
      <c r="Q339" s="32"/>
      <c r="R339" s="32"/>
      <c r="S339" s="32"/>
      <c r="T339" s="32"/>
      <c r="U339" s="32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9:34" ht="19.5" customHeight="1" hidden="1">
      <c r="I340" s="18"/>
      <c r="J340" s="18"/>
      <c r="K340" s="20"/>
      <c r="L340" s="10"/>
      <c r="N340" s="600" t="str">
        <f>+' -'!$E$21</f>
        <v>Програмата за финансов анализ е лицензирана на:</v>
      </c>
      <c r="O340" s="579"/>
      <c r="P340" s="579"/>
      <c r="Q340" s="579"/>
      <c r="R340" s="579"/>
      <c r="S340" s="579"/>
      <c r="T340" s="579"/>
      <c r="U340" s="30"/>
      <c r="V340" s="29"/>
      <c r="W340" s="39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62">
        <f>+' -'!$B$11</f>
      </c>
    </row>
    <row r="341" spans="9:35" ht="19.5" customHeight="1" hidden="1">
      <c r="I341" s="18"/>
      <c r="J341" s="18"/>
      <c r="K341" s="20"/>
      <c r="L341" s="10"/>
      <c r="N341" s="601"/>
      <c r="O341" s="576"/>
      <c r="P341" s="576"/>
      <c r="Q341" s="577"/>
      <c r="R341" s="577"/>
      <c r="S341" s="577"/>
      <c r="T341" s="30"/>
      <c r="U341" s="30"/>
      <c r="V341" s="29"/>
      <c r="W341" s="22" t="s">
        <v>1479</v>
      </c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62">
        <f>+' -'!$C$12</f>
      </c>
      <c r="AI341" s="62"/>
    </row>
    <row r="342" spans="9:34" ht="19.5" customHeight="1" hidden="1">
      <c r="I342" s="18"/>
      <c r="J342" s="18"/>
      <c r="K342" s="20"/>
      <c r="L342" s="10"/>
      <c r="N342" s="600" t="str">
        <f>+' -'!$E$22</f>
        <v>"В И Н З А В О Д"  А Д - гр. АСЕНОВГРАД</v>
      </c>
      <c r="O342" s="579"/>
      <c r="P342" s="579"/>
      <c r="Q342" s="579"/>
      <c r="R342" s="579"/>
      <c r="S342" s="579"/>
      <c r="T342" s="579"/>
      <c r="U342" s="30"/>
      <c r="V342" s="29"/>
      <c r="W342" s="23" t="s">
        <v>1364</v>
      </c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9"/>
    </row>
    <row r="343" spans="9:34" ht="19.5" customHeight="1" hidden="1">
      <c r="I343" s="18"/>
      <c r="J343" s="18"/>
      <c r="K343" s="20"/>
      <c r="L343" s="10"/>
      <c r="N343" s="30"/>
      <c r="O343" s="30"/>
      <c r="P343" s="30"/>
      <c r="Q343" s="30"/>
      <c r="R343" s="30"/>
      <c r="S343" s="30"/>
      <c r="T343" s="30"/>
      <c r="U343" s="30"/>
      <c r="V343" s="29"/>
      <c r="W343" s="23" t="str">
        <f>+$A$3</f>
        <v>на  "ВИНЗАВОД"  АД - гр. Асеновград  към</v>
      </c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9"/>
    </row>
    <row r="344" spans="9:34" ht="19.5" customHeight="1" hidden="1">
      <c r="I344" s="18"/>
      <c r="J344" s="18"/>
      <c r="K344" s="20"/>
      <c r="L344" s="10"/>
      <c r="N344" s="30"/>
      <c r="O344" s="30"/>
      <c r="P344" s="30"/>
      <c r="Q344" s="30"/>
      <c r="R344" s="30"/>
      <c r="S344" s="30"/>
      <c r="T344" s="30"/>
      <c r="U344" s="30"/>
      <c r="V344" s="29"/>
      <c r="X344" s="1532">
        <f>$A$4</f>
        <v>39813</v>
      </c>
      <c r="Y344" s="1532"/>
      <c r="Z344" s="1532"/>
      <c r="AA344" s="1532"/>
      <c r="AB344" s="1532"/>
      <c r="AC344" s="1532"/>
      <c r="AF344" s="34"/>
      <c r="AG344" s="36" t="s">
        <v>1561</v>
      </c>
      <c r="AH344" s="29"/>
    </row>
    <row r="345" spans="9:34" ht="19.5" customHeight="1" hidden="1">
      <c r="I345" s="18"/>
      <c r="J345" s="18"/>
      <c r="K345" s="20"/>
      <c r="L345" s="10"/>
      <c r="N345" s="30"/>
      <c r="O345" s="30"/>
      <c r="P345" s="30"/>
      <c r="Q345" s="30"/>
      <c r="R345" s="30"/>
      <c r="S345" s="30"/>
      <c r="T345" s="30"/>
      <c r="U345" s="30"/>
      <c r="V345" s="29"/>
      <c r="W345" s="344"/>
      <c r="X345" s="344"/>
      <c r="Y345" s="1533" t="s">
        <v>1365</v>
      </c>
      <c r="Z345" s="1533"/>
      <c r="AA345" s="1534"/>
      <c r="AB345" s="1534"/>
      <c r="AC345" s="1535"/>
      <c r="AD345" s="345"/>
      <c r="AE345" s="346"/>
      <c r="AF345" s="340"/>
      <c r="AG345" s="340"/>
      <c r="AH345" s="29"/>
    </row>
    <row r="346" spans="9:34" ht="19.5" customHeight="1" hidden="1">
      <c r="I346" s="18"/>
      <c r="J346" s="18"/>
      <c r="K346" s="20"/>
      <c r="L346" s="10"/>
      <c r="N346" s="30"/>
      <c r="O346" s="30"/>
      <c r="P346" s="30"/>
      <c r="Q346" s="30"/>
      <c r="R346" s="30"/>
      <c r="S346" s="30"/>
      <c r="T346" s="30"/>
      <c r="U346" s="30"/>
      <c r="V346" s="29"/>
      <c r="W346" s="347"/>
      <c r="X346" s="31" t="s">
        <v>1366</v>
      </c>
      <c r="Y346" s="348" t="s">
        <v>1367</v>
      </c>
      <c r="Z346" s="349" t="s">
        <v>1368</v>
      </c>
      <c r="AA346" s="1536" t="s">
        <v>1369</v>
      </c>
      <c r="AB346" s="1533"/>
      <c r="AC346" s="1537"/>
      <c r="AD346" s="1524" t="s">
        <v>1146</v>
      </c>
      <c r="AE346" s="1525"/>
      <c r="AF346" s="341" t="s">
        <v>1370</v>
      </c>
      <c r="AG346" s="341" t="s">
        <v>1371</v>
      </c>
      <c r="AH346" s="29"/>
    </row>
    <row r="347" spans="9:34" ht="19.5" customHeight="1" hidden="1">
      <c r="I347" s="18"/>
      <c r="J347" s="18"/>
      <c r="K347" s="20"/>
      <c r="L347" s="10"/>
      <c r="N347" s="30"/>
      <c r="O347" s="30"/>
      <c r="P347" s="30"/>
      <c r="Q347" s="30"/>
      <c r="R347" s="30"/>
      <c r="S347" s="30"/>
      <c r="T347" s="30"/>
      <c r="U347" s="30"/>
      <c r="V347" s="29"/>
      <c r="W347" s="341" t="s">
        <v>1372</v>
      </c>
      <c r="X347" s="31" t="s">
        <v>1373</v>
      </c>
      <c r="Y347" s="350" t="s">
        <v>1374</v>
      </c>
      <c r="Z347" s="351" t="s">
        <v>1375</v>
      </c>
      <c r="AA347" s="341"/>
      <c r="AB347" s="341" t="s">
        <v>1376</v>
      </c>
      <c r="AC347" s="347"/>
      <c r="AD347" s="352"/>
      <c r="AE347" s="353"/>
      <c r="AF347" s="341" t="s">
        <v>1374</v>
      </c>
      <c r="AG347" s="341" t="s">
        <v>1377</v>
      </c>
      <c r="AH347" s="29"/>
    </row>
    <row r="348" spans="9:34" ht="19.5" customHeight="1" hidden="1">
      <c r="I348" s="18"/>
      <c r="J348" s="18"/>
      <c r="K348" s="20"/>
      <c r="L348" s="10"/>
      <c r="N348" s="30"/>
      <c r="O348" s="30"/>
      <c r="P348" s="30"/>
      <c r="Q348" s="30"/>
      <c r="R348" s="30"/>
      <c r="S348" s="30"/>
      <c r="T348" s="30"/>
      <c r="U348" s="30"/>
      <c r="V348" s="29"/>
      <c r="W348" s="347"/>
      <c r="X348" s="354"/>
      <c r="Y348" s="350" t="s">
        <v>1378</v>
      </c>
      <c r="Z348" s="351" t="s">
        <v>1459</v>
      </c>
      <c r="AA348" s="341" t="s">
        <v>1460</v>
      </c>
      <c r="AB348" s="341" t="s">
        <v>1461</v>
      </c>
      <c r="AC348" s="341" t="s">
        <v>1145</v>
      </c>
      <c r="AD348" s="355" t="s">
        <v>1147</v>
      </c>
      <c r="AE348" s="355" t="s">
        <v>1148</v>
      </c>
      <c r="AF348" s="341" t="s">
        <v>1462</v>
      </c>
      <c r="AG348" s="341" t="s">
        <v>1373</v>
      </c>
      <c r="AH348" s="29"/>
    </row>
    <row r="349" spans="9:34" ht="19.5" customHeight="1" hidden="1">
      <c r="I349" s="18"/>
      <c r="J349" s="18"/>
      <c r="K349" s="20"/>
      <c r="L349" s="10"/>
      <c r="N349" s="30"/>
      <c r="O349" s="30"/>
      <c r="P349" s="30"/>
      <c r="Q349" s="30"/>
      <c r="R349" s="30"/>
      <c r="S349" s="30"/>
      <c r="T349" s="30"/>
      <c r="U349" s="30"/>
      <c r="V349" s="29"/>
      <c r="W349" s="356"/>
      <c r="X349" s="357"/>
      <c r="Y349" s="358"/>
      <c r="Z349" s="351" t="s">
        <v>1463</v>
      </c>
      <c r="AA349" s="342"/>
      <c r="AB349" s="342" t="s">
        <v>1464</v>
      </c>
      <c r="AC349" s="356"/>
      <c r="AD349" s="356"/>
      <c r="AE349" s="356"/>
      <c r="AF349" s="342"/>
      <c r="AG349" s="342"/>
      <c r="AH349" s="29"/>
    </row>
    <row r="350" spans="9:34" ht="19.5" customHeight="1" hidden="1">
      <c r="I350" s="18"/>
      <c r="J350" s="18"/>
      <c r="K350" s="20"/>
      <c r="L350" s="10"/>
      <c r="N350" s="30"/>
      <c r="O350" s="30"/>
      <c r="P350" s="30"/>
      <c r="Q350" s="30"/>
      <c r="R350" s="30"/>
      <c r="S350" s="30"/>
      <c r="T350" s="30"/>
      <c r="U350" s="30"/>
      <c r="V350" s="29"/>
      <c r="W350" s="343" t="s">
        <v>1405</v>
      </c>
      <c r="X350" s="342">
        <v>1</v>
      </c>
      <c r="Y350" s="343">
        <v>2</v>
      </c>
      <c r="Z350" s="343">
        <v>3</v>
      </c>
      <c r="AA350" s="343">
        <v>4</v>
      </c>
      <c r="AB350" s="343">
        <v>5</v>
      </c>
      <c r="AC350" s="343">
        <v>6</v>
      </c>
      <c r="AD350" s="343">
        <v>7</v>
      </c>
      <c r="AE350" s="343">
        <v>8</v>
      </c>
      <c r="AF350" s="343">
        <v>9</v>
      </c>
      <c r="AG350" s="343">
        <v>10</v>
      </c>
      <c r="AH350" s="29"/>
    </row>
    <row r="351" spans="9:34" ht="19.5" customHeight="1" hidden="1">
      <c r="I351" s="18"/>
      <c r="J351" s="18"/>
      <c r="K351" s="20"/>
      <c r="L351" s="10"/>
      <c r="N351" s="30"/>
      <c r="O351" s="30"/>
      <c r="P351" s="30"/>
      <c r="Q351" s="30"/>
      <c r="R351" s="30"/>
      <c r="S351" s="30"/>
      <c r="T351" s="30"/>
      <c r="U351" s="30"/>
      <c r="V351" s="29"/>
      <c r="W351" s="4" t="s">
        <v>1465</v>
      </c>
      <c r="X351" s="359">
        <f>E114</f>
        <v>10017</v>
      </c>
      <c r="Y351" s="359">
        <f>E116</f>
        <v>0</v>
      </c>
      <c r="Z351" s="359">
        <f>E117</f>
        <v>2921</v>
      </c>
      <c r="AA351" s="359">
        <f>E119</f>
        <v>389</v>
      </c>
      <c r="AB351" s="359">
        <f>E120</f>
        <v>0</v>
      </c>
      <c r="AC351" s="359">
        <f>E121</f>
        <v>0</v>
      </c>
      <c r="AD351" s="359">
        <f>IF(E129&gt;0,E129,0)</f>
        <v>425</v>
      </c>
      <c r="AE351" s="359">
        <f>IF(E129&lt;0,E129,0)</f>
        <v>0</v>
      </c>
      <c r="AF351" s="363">
        <v>0</v>
      </c>
      <c r="AG351" s="359">
        <f>E130</f>
        <v>13752</v>
      </c>
      <c r="AH351" s="29"/>
    </row>
    <row r="352" spans="9:34" ht="19.5" customHeight="1" hidden="1">
      <c r="I352" s="18"/>
      <c r="J352" s="18"/>
      <c r="K352" s="20"/>
      <c r="L352" s="10"/>
      <c r="N352" s="30"/>
      <c r="O352" s="30"/>
      <c r="P352" s="30"/>
      <c r="Q352" s="30"/>
      <c r="R352" s="30"/>
      <c r="S352" s="30"/>
      <c r="T352" s="30"/>
      <c r="U352" s="30"/>
      <c r="V352" s="29"/>
      <c r="W352" s="4" t="s">
        <v>1466</v>
      </c>
      <c r="X352" s="363">
        <v>0</v>
      </c>
      <c r="Y352" s="363">
        <v>0</v>
      </c>
      <c r="Z352" s="363">
        <v>0</v>
      </c>
      <c r="AA352" s="363">
        <v>0</v>
      </c>
      <c r="AB352" s="363">
        <v>0</v>
      </c>
      <c r="AC352" s="363">
        <v>0</v>
      </c>
      <c r="AD352" s="363">
        <v>0</v>
      </c>
      <c r="AE352" s="363">
        <v>0</v>
      </c>
      <c r="AF352" s="363">
        <v>0</v>
      </c>
      <c r="AG352" s="363">
        <v>0</v>
      </c>
      <c r="AH352" s="29"/>
    </row>
    <row r="353" spans="9:34" ht="19.5" customHeight="1" hidden="1">
      <c r="I353" s="18"/>
      <c r="J353" s="18"/>
      <c r="K353" s="20"/>
      <c r="L353" s="10"/>
      <c r="N353" s="30"/>
      <c r="O353" s="30"/>
      <c r="P353" s="30"/>
      <c r="Q353" s="30"/>
      <c r="R353" s="30"/>
      <c r="S353" s="30"/>
      <c r="T353" s="30"/>
      <c r="U353" s="30"/>
      <c r="V353" s="29"/>
      <c r="W353" s="4" t="s">
        <v>1467</v>
      </c>
      <c r="X353" s="363">
        <v>0</v>
      </c>
      <c r="Y353" s="363">
        <v>0</v>
      </c>
      <c r="Z353" s="363">
        <v>0</v>
      </c>
      <c r="AA353" s="363">
        <v>0</v>
      </c>
      <c r="AB353" s="363">
        <v>0</v>
      </c>
      <c r="AC353" s="363">
        <v>0</v>
      </c>
      <c r="AD353" s="363">
        <v>0</v>
      </c>
      <c r="AE353" s="363">
        <v>0</v>
      </c>
      <c r="AF353" s="363">
        <v>0</v>
      </c>
      <c r="AG353" s="363">
        <v>0</v>
      </c>
      <c r="AH353" s="29"/>
    </row>
    <row r="354" spans="9:34" ht="19.5" customHeight="1" hidden="1">
      <c r="I354" s="18"/>
      <c r="J354" s="18"/>
      <c r="K354" s="20"/>
      <c r="L354" s="10"/>
      <c r="N354" s="30"/>
      <c r="O354" s="30"/>
      <c r="P354" s="30"/>
      <c r="Q354" s="30"/>
      <c r="R354" s="30"/>
      <c r="S354" s="30"/>
      <c r="T354" s="30"/>
      <c r="U354" s="30"/>
      <c r="V354" s="29"/>
      <c r="W354" s="4" t="s">
        <v>1468</v>
      </c>
      <c r="X354" s="363">
        <v>0</v>
      </c>
      <c r="Y354" s="363">
        <v>0</v>
      </c>
      <c r="Z354" s="363">
        <v>0</v>
      </c>
      <c r="AA354" s="363">
        <v>0</v>
      </c>
      <c r="AB354" s="363">
        <v>0</v>
      </c>
      <c r="AC354" s="363">
        <v>0</v>
      </c>
      <c r="AD354" s="363">
        <v>0</v>
      </c>
      <c r="AE354" s="363">
        <v>0</v>
      </c>
      <c r="AF354" s="363">
        <v>0</v>
      </c>
      <c r="AG354" s="363">
        <v>0</v>
      </c>
      <c r="AH354" s="29"/>
    </row>
    <row r="355" spans="9:34" ht="19.5" customHeight="1" hidden="1">
      <c r="I355" s="18"/>
      <c r="J355" s="18"/>
      <c r="K355" s="20"/>
      <c r="L355" s="10"/>
      <c r="N355" s="30"/>
      <c r="O355" s="30"/>
      <c r="P355" s="30"/>
      <c r="Q355" s="30"/>
      <c r="R355" s="30"/>
      <c r="S355" s="30"/>
      <c r="T355" s="30"/>
      <c r="U355" s="30"/>
      <c r="V355" s="29"/>
      <c r="W355" s="4" t="s">
        <v>1469</v>
      </c>
      <c r="X355" s="363">
        <v>0</v>
      </c>
      <c r="Y355" s="363">
        <v>0</v>
      </c>
      <c r="Z355" s="363">
        <v>0</v>
      </c>
      <c r="AA355" s="363">
        <v>0</v>
      </c>
      <c r="AB355" s="363">
        <v>0</v>
      </c>
      <c r="AC355" s="363">
        <v>0</v>
      </c>
      <c r="AD355" s="359">
        <f>IF(D128&gt;0,D128,0)</f>
        <v>103</v>
      </c>
      <c r="AE355" s="359">
        <f>IF(D128&lt;0,D128,0)</f>
        <v>0</v>
      </c>
      <c r="AF355" s="363">
        <v>0</v>
      </c>
      <c r="AG355" s="363">
        <v>0</v>
      </c>
      <c r="AH355" s="29"/>
    </row>
    <row r="356" spans="9:34" ht="19.5" customHeight="1" hidden="1">
      <c r="I356" s="18"/>
      <c r="J356" s="18"/>
      <c r="K356" s="20"/>
      <c r="L356" s="10"/>
      <c r="N356" s="30"/>
      <c r="O356" s="30"/>
      <c r="P356" s="30"/>
      <c r="Q356" s="30"/>
      <c r="R356" s="30"/>
      <c r="S356" s="30"/>
      <c r="T356" s="30"/>
      <c r="U356" s="30"/>
      <c r="V356" s="29"/>
      <c r="W356" s="4" t="s">
        <v>1470</v>
      </c>
      <c r="X356" s="363">
        <v>0</v>
      </c>
      <c r="Y356" s="363">
        <v>0</v>
      </c>
      <c r="Z356" s="363">
        <v>0</v>
      </c>
      <c r="AA356" s="363">
        <v>0</v>
      </c>
      <c r="AB356" s="363">
        <v>0</v>
      </c>
      <c r="AC356" s="363">
        <v>0</v>
      </c>
      <c r="AD356" s="363">
        <v>0</v>
      </c>
      <c r="AE356" s="363">
        <v>0</v>
      </c>
      <c r="AF356" s="363">
        <v>0</v>
      </c>
      <c r="AG356" s="363">
        <v>0</v>
      </c>
      <c r="AH356" s="29"/>
    </row>
    <row r="357" spans="9:34" ht="19.5" customHeight="1" hidden="1">
      <c r="I357" s="18"/>
      <c r="J357" s="18"/>
      <c r="K357" s="20"/>
      <c r="L357" s="10"/>
      <c r="N357" s="30"/>
      <c r="O357" s="30"/>
      <c r="P357" s="30"/>
      <c r="Q357" s="30"/>
      <c r="R357" s="30"/>
      <c r="S357" s="30"/>
      <c r="T357" s="30"/>
      <c r="U357" s="30"/>
      <c r="V357" s="29"/>
      <c r="W357" s="4" t="s">
        <v>826</v>
      </c>
      <c r="X357" s="363">
        <v>0</v>
      </c>
      <c r="Y357" s="363">
        <v>0</v>
      </c>
      <c r="Z357" s="363">
        <v>0</v>
      </c>
      <c r="AA357" s="363">
        <v>0</v>
      </c>
      <c r="AB357" s="363">
        <v>0</v>
      </c>
      <c r="AC357" s="363">
        <v>0</v>
      </c>
      <c r="AD357" s="363">
        <v>0</v>
      </c>
      <c r="AE357" s="363">
        <v>0</v>
      </c>
      <c r="AF357" s="363">
        <v>0</v>
      </c>
      <c r="AG357" s="363">
        <v>0</v>
      </c>
      <c r="AH357" s="29"/>
    </row>
    <row r="358" spans="9:34" ht="19.5" customHeight="1" hidden="1">
      <c r="I358" s="18"/>
      <c r="J358" s="18"/>
      <c r="K358" s="20"/>
      <c r="L358" s="10"/>
      <c r="N358" s="30"/>
      <c r="O358" s="30"/>
      <c r="P358" s="30"/>
      <c r="Q358" s="30"/>
      <c r="R358" s="30"/>
      <c r="S358" s="30"/>
      <c r="T358" s="30"/>
      <c r="U358" s="30"/>
      <c r="V358" s="29"/>
      <c r="W358" s="4" t="s">
        <v>827</v>
      </c>
      <c r="X358" s="363">
        <v>0</v>
      </c>
      <c r="Y358" s="363">
        <v>0</v>
      </c>
      <c r="Z358" s="363">
        <v>0</v>
      </c>
      <c r="AA358" s="363">
        <v>0</v>
      </c>
      <c r="AB358" s="363">
        <v>0</v>
      </c>
      <c r="AC358" s="363">
        <v>0</v>
      </c>
      <c r="AD358" s="363">
        <v>0</v>
      </c>
      <c r="AE358" s="363">
        <v>0</v>
      </c>
      <c r="AF358" s="363">
        <v>0</v>
      </c>
      <c r="AG358" s="363">
        <v>0</v>
      </c>
      <c r="AH358" s="29"/>
    </row>
    <row r="359" spans="9:34" ht="19.5" customHeight="1" hidden="1">
      <c r="I359" s="18"/>
      <c r="J359" s="18"/>
      <c r="K359" s="20"/>
      <c r="L359" s="10"/>
      <c r="N359" s="30"/>
      <c r="O359" s="30"/>
      <c r="P359" s="30"/>
      <c r="Q359" s="30"/>
      <c r="R359" s="30"/>
      <c r="S359" s="30"/>
      <c r="T359" s="30"/>
      <c r="U359" s="30"/>
      <c r="V359" s="29"/>
      <c r="W359" s="4" t="s">
        <v>828</v>
      </c>
      <c r="X359" s="363">
        <v>0</v>
      </c>
      <c r="Y359" s="363">
        <v>0</v>
      </c>
      <c r="Z359" s="363">
        <v>0</v>
      </c>
      <c r="AA359" s="363">
        <v>0</v>
      </c>
      <c r="AB359" s="363">
        <v>0</v>
      </c>
      <c r="AC359" s="363">
        <v>0</v>
      </c>
      <c r="AD359" s="363">
        <v>0</v>
      </c>
      <c r="AE359" s="363">
        <v>0</v>
      </c>
      <c r="AF359" s="363">
        <v>0</v>
      </c>
      <c r="AG359" s="363">
        <v>0</v>
      </c>
      <c r="AH359" s="29"/>
    </row>
    <row r="360" spans="9:34" ht="19.5" customHeight="1" hidden="1">
      <c r="I360" s="18"/>
      <c r="J360" s="18"/>
      <c r="K360" s="20"/>
      <c r="L360" s="10"/>
      <c r="N360" s="30"/>
      <c r="O360" s="30"/>
      <c r="P360" s="30"/>
      <c r="Q360" s="30"/>
      <c r="R360" s="30"/>
      <c r="S360" s="30"/>
      <c r="T360" s="30"/>
      <c r="U360" s="30"/>
      <c r="V360" s="29"/>
      <c r="W360" s="4" t="s">
        <v>1467</v>
      </c>
      <c r="X360" s="363">
        <v>0</v>
      </c>
      <c r="Y360" s="363">
        <v>0</v>
      </c>
      <c r="Z360" s="363">
        <v>0</v>
      </c>
      <c r="AA360" s="363">
        <v>0</v>
      </c>
      <c r="AB360" s="363">
        <v>0</v>
      </c>
      <c r="AC360" s="363">
        <v>0</v>
      </c>
      <c r="AD360" s="363">
        <v>0</v>
      </c>
      <c r="AE360" s="363">
        <v>0</v>
      </c>
      <c r="AF360" s="363">
        <v>0</v>
      </c>
      <c r="AG360" s="363">
        <v>0</v>
      </c>
      <c r="AH360" s="29"/>
    </row>
    <row r="361" spans="9:34" ht="19.5" customHeight="1" hidden="1">
      <c r="I361" s="18"/>
      <c r="J361" s="18"/>
      <c r="K361" s="20"/>
      <c r="L361" s="10"/>
      <c r="N361" s="30"/>
      <c r="O361" s="30"/>
      <c r="P361" s="30"/>
      <c r="Q361" s="30"/>
      <c r="R361" s="30"/>
      <c r="S361" s="30"/>
      <c r="T361" s="30"/>
      <c r="U361" s="30"/>
      <c r="V361" s="29"/>
      <c r="W361" s="4" t="s">
        <v>1468</v>
      </c>
      <c r="X361" s="363">
        <v>0</v>
      </c>
      <c r="Y361" s="363">
        <v>0</v>
      </c>
      <c r="Z361" s="363">
        <v>0</v>
      </c>
      <c r="AA361" s="363">
        <v>0</v>
      </c>
      <c r="AB361" s="363">
        <v>0</v>
      </c>
      <c r="AC361" s="363">
        <v>0</v>
      </c>
      <c r="AD361" s="363">
        <v>0</v>
      </c>
      <c r="AE361" s="363">
        <v>0</v>
      </c>
      <c r="AF361" s="363">
        <v>0</v>
      </c>
      <c r="AG361" s="363">
        <v>0</v>
      </c>
      <c r="AH361" s="29"/>
    </row>
    <row r="362" spans="9:34" ht="19.5" customHeight="1" hidden="1">
      <c r="I362" s="18"/>
      <c r="J362" s="18"/>
      <c r="K362" s="20"/>
      <c r="L362" s="10"/>
      <c r="N362" s="30"/>
      <c r="O362" s="30"/>
      <c r="P362" s="30"/>
      <c r="Q362" s="30"/>
      <c r="R362" s="30"/>
      <c r="S362" s="30"/>
      <c r="T362" s="30"/>
      <c r="U362" s="30"/>
      <c r="V362" s="29"/>
      <c r="W362" s="4" t="s">
        <v>1733</v>
      </c>
      <c r="X362" s="363">
        <v>0</v>
      </c>
      <c r="Y362" s="363">
        <v>0</v>
      </c>
      <c r="Z362" s="363">
        <v>0</v>
      </c>
      <c r="AA362" s="363">
        <v>0</v>
      </c>
      <c r="AB362" s="363">
        <v>0</v>
      </c>
      <c r="AC362" s="363">
        <v>0</v>
      </c>
      <c r="AD362" s="363">
        <v>0</v>
      </c>
      <c r="AE362" s="363">
        <v>0</v>
      </c>
      <c r="AF362" s="363">
        <v>0</v>
      </c>
      <c r="AG362" s="363">
        <v>0</v>
      </c>
      <c r="AH362" s="29"/>
    </row>
    <row r="363" spans="9:34" ht="19.5" customHeight="1" hidden="1">
      <c r="I363" s="18"/>
      <c r="J363" s="18"/>
      <c r="K363" s="20"/>
      <c r="L363" s="10"/>
      <c r="N363" s="30"/>
      <c r="O363" s="30"/>
      <c r="P363" s="30"/>
      <c r="Q363" s="30"/>
      <c r="R363" s="30"/>
      <c r="S363" s="30"/>
      <c r="T363" s="30"/>
      <c r="U363" s="30"/>
      <c r="V363" s="29"/>
      <c r="W363" s="4" t="s">
        <v>1467</v>
      </c>
      <c r="X363" s="363">
        <v>0</v>
      </c>
      <c r="Y363" s="363">
        <v>0</v>
      </c>
      <c r="Z363" s="363">
        <v>0</v>
      </c>
      <c r="AA363" s="363">
        <v>0</v>
      </c>
      <c r="AB363" s="363">
        <v>0</v>
      </c>
      <c r="AC363" s="363">
        <v>0</v>
      </c>
      <c r="AD363" s="363">
        <v>0</v>
      </c>
      <c r="AE363" s="363">
        <v>0</v>
      </c>
      <c r="AF363" s="363">
        <v>0</v>
      </c>
      <c r="AG363" s="363">
        <v>0</v>
      </c>
      <c r="AH363" s="29"/>
    </row>
    <row r="364" spans="9:34" ht="19.5" customHeight="1" hidden="1">
      <c r="I364" s="18"/>
      <c r="J364" s="18"/>
      <c r="K364" s="20"/>
      <c r="L364" s="10"/>
      <c r="N364" s="30"/>
      <c r="O364" s="30"/>
      <c r="P364" s="30"/>
      <c r="Q364" s="30"/>
      <c r="R364" s="30"/>
      <c r="S364" s="30"/>
      <c r="T364" s="30"/>
      <c r="U364" s="30"/>
      <c r="V364" s="29"/>
      <c r="W364" s="4" t="s">
        <v>1468</v>
      </c>
      <c r="X364" s="363">
        <v>0</v>
      </c>
      <c r="Y364" s="363">
        <v>0</v>
      </c>
      <c r="Z364" s="363">
        <v>0</v>
      </c>
      <c r="AA364" s="363">
        <v>0</v>
      </c>
      <c r="AB364" s="363">
        <v>0</v>
      </c>
      <c r="AC364" s="363">
        <v>0</v>
      </c>
      <c r="AD364" s="363">
        <v>0</v>
      </c>
      <c r="AE364" s="363">
        <v>0</v>
      </c>
      <c r="AF364" s="363">
        <v>0</v>
      </c>
      <c r="AG364" s="363">
        <v>0</v>
      </c>
      <c r="AH364" s="29"/>
    </row>
    <row r="365" spans="9:34" ht="19.5" customHeight="1" hidden="1">
      <c r="I365" s="18"/>
      <c r="J365" s="18"/>
      <c r="K365" s="20"/>
      <c r="L365" s="10"/>
      <c r="N365" s="30"/>
      <c r="O365" s="30"/>
      <c r="P365" s="30"/>
      <c r="Q365" s="30"/>
      <c r="R365" s="30"/>
      <c r="S365" s="30"/>
      <c r="T365" s="30"/>
      <c r="U365" s="30"/>
      <c r="V365" s="29"/>
      <c r="W365" s="4" t="s">
        <v>1734</v>
      </c>
      <c r="X365" s="363">
        <v>0</v>
      </c>
      <c r="Y365" s="363">
        <v>0</v>
      </c>
      <c r="Z365" s="363">
        <v>0</v>
      </c>
      <c r="AA365" s="363">
        <v>0</v>
      </c>
      <c r="AB365" s="363">
        <v>0</v>
      </c>
      <c r="AC365" s="363">
        <v>0</v>
      </c>
      <c r="AD365" s="363">
        <v>0</v>
      </c>
      <c r="AE365" s="363">
        <v>0</v>
      </c>
      <c r="AF365" s="363">
        <v>0</v>
      </c>
      <c r="AG365" s="363">
        <v>0</v>
      </c>
      <c r="AH365" s="29"/>
    </row>
    <row r="366" spans="9:34" ht="19.5" customHeight="1" hidden="1">
      <c r="I366" s="18"/>
      <c r="J366" s="18"/>
      <c r="K366" s="20"/>
      <c r="L366" s="10"/>
      <c r="N366" s="30"/>
      <c r="O366" s="30"/>
      <c r="P366" s="30"/>
      <c r="Q366" s="30"/>
      <c r="R366" s="30"/>
      <c r="S366" s="30"/>
      <c r="T366" s="30"/>
      <c r="U366" s="30"/>
      <c r="V366" s="29"/>
      <c r="W366" s="4" t="s">
        <v>2168</v>
      </c>
      <c r="X366" s="363">
        <v>0</v>
      </c>
      <c r="Y366" s="363">
        <v>0</v>
      </c>
      <c r="Z366" s="363">
        <v>0</v>
      </c>
      <c r="AA366" s="363">
        <v>0</v>
      </c>
      <c r="AB366" s="363">
        <v>0</v>
      </c>
      <c r="AC366" s="363">
        <v>0</v>
      </c>
      <c r="AD366" s="363">
        <v>0</v>
      </c>
      <c r="AE366" s="363">
        <v>0</v>
      </c>
      <c r="AF366" s="363">
        <v>0</v>
      </c>
      <c r="AG366" s="363">
        <v>0</v>
      </c>
      <c r="AH366" s="29"/>
    </row>
    <row r="367" spans="9:34" ht="19.5" customHeight="1" hidden="1">
      <c r="I367" s="18"/>
      <c r="J367" s="18"/>
      <c r="K367" s="20"/>
      <c r="L367" s="10"/>
      <c r="N367" s="30"/>
      <c r="O367" s="30"/>
      <c r="P367" s="30"/>
      <c r="Q367" s="30"/>
      <c r="R367" s="30"/>
      <c r="S367" s="30"/>
      <c r="T367" s="30"/>
      <c r="U367" s="30"/>
      <c r="V367" s="29"/>
      <c r="W367" s="6" t="s">
        <v>2169</v>
      </c>
      <c r="X367" s="359">
        <f>D114</f>
        <v>10017</v>
      </c>
      <c r="Y367" s="359">
        <f>D116</f>
        <v>0</v>
      </c>
      <c r="Z367" s="359">
        <f>D117</f>
        <v>2867</v>
      </c>
      <c r="AA367" s="359">
        <f>D119</f>
        <v>853</v>
      </c>
      <c r="AB367" s="359">
        <f>D120</f>
        <v>0</v>
      </c>
      <c r="AC367" s="359">
        <f>D121</f>
        <v>0</v>
      </c>
      <c r="AD367" s="359">
        <f>IF(D129&gt;0,D129,0)</f>
        <v>103</v>
      </c>
      <c r="AE367" s="359">
        <f>IF(D129&lt;0,D129,0)</f>
        <v>0</v>
      </c>
      <c r="AF367" s="363">
        <v>0</v>
      </c>
      <c r="AG367" s="359">
        <f>D130</f>
        <v>13840</v>
      </c>
      <c r="AH367" s="29"/>
    </row>
    <row r="368" spans="9:34" ht="19.5" customHeight="1" hidden="1">
      <c r="I368" s="18"/>
      <c r="J368" s="18"/>
      <c r="K368" s="20"/>
      <c r="L368" s="10"/>
      <c r="N368" s="30"/>
      <c r="O368" s="30"/>
      <c r="P368" s="30"/>
      <c r="Q368" s="30"/>
      <c r="R368" s="30"/>
      <c r="S368" s="30"/>
      <c r="T368" s="30"/>
      <c r="U368" s="30"/>
      <c r="V368" s="29"/>
      <c r="W368" s="27" t="s">
        <v>2170</v>
      </c>
      <c r="X368" s="360"/>
      <c r="Y368" s="361"/>
      <c r="Z368" s="360"/>
      <c r="AA368" s="360"/>
      <c r="AB368" s="360"/>
      <c r="AC368" s="360"/>
      <c r="AD368" s="360"/>
      <c r="AE368" s="360"/>
      <c r="AF368" s="360"/>
      <c r="AG368" s="360"/>
      <c r="AH368" s="29"/>
    </row>
    <row r="369" spans="9:34" ht="19.5" customHeight="1" hidden="1">
      <c r="I369" s="18"/>
      <c r="J369" s="18"/>
      <c r="K369" s="20"/>
      <c r="L369" s="10"/>
      <c r="N369" s="30"/>
      <c r="O369" s="30"/>
      <c r="P369" s="30"/>
      <c r="Q369" s="30"/>
      <c r="R369" s="30"/>
      <c r="S369" s="30"/>
      <c r="T369" s="30"/>
      <c r="U369" s="30"/>
      <c r="V369" s="29"/>
      <c r="W369" s="28" t="s">
        <v>2171</v>
      </c>
      <c r="X369" s="363">
        <v>0</v>
      </c>
      <c r="Y369" s="363">
        <v>0</v>
      </c>
      <c r="Z369" s="363">
        <v>0</v>
      </c>
      <c r="AA369" s="363">
        <v>0</v>
      </c>
      <c r="AB369" s="363">
        <v>0</v>
      </c>
      <c r="AC369" s="363">
        <v>0</v>
      </c>
      <c r="AD369" s="363">
        <v>0</v>
      </c>
      <c r="AE369" s="363">
        <v>0</v>
      </c>
      <c r="AF369" s="363">
        <v>0</v>
      </c>
      <c r="AG369" s="363">
        <v>0</v>
      </c>
      <c r="AH369" s="29"/>
    </row>
    <row r="370" spans="9:34" ht="19.5" customHeight="1" hidden="1">
      <c r="I370" s="18"/>
      <c r="J370" s="18"/>
      <c r="K370" s="20"/>
      <c r="L370" s="10"/>
      <c r="N370" s="30"/>
      <c r="O370" s="30"/>
      <c r="P370" s="30"/>
      <c r="Q370" s="30"/>
      <c r="R370" s="30"/>
      <c r="S370" s="30"/>
      <c r="T370" s="30"/>
      <c r="U370" s="30"/>
      <c r="V370" s="29"/>
      <c r="W370" s="6" t="s">
        <v>2172</v>
      </c>
      <c r="X370" s="362"/>
      <c r="Y370" s="360"/>
      <c r="Z370" s="360"/>
      <c r="AA370" s="360"/>
      <c r="AB370" s="360"/>
      <c r="AC370" s="360"/>
      <c r="AD370" s="360"/>
      <c r="AE370" s="360"/>
      <c r="AF370" s="360"/>
      <c r="AG370" s="360"/>
      <c r="AH370" s="29"/>
    </row>
    <row r="371" spans="9:34" ht="19.5" customHeight="1" hidden="1">
      <c r="I371" s="18"/>
      <c r="J371" s="18"/>
      <c r="K371" s="20"/>
      <c r="L371" s="10"/>
      <c r="N371" s="30"/>
      <c r="O371" s="30"/>
      <c r="P371" s="30"/>
      <c r="Q371" s="30"/>
      <c r="R371" s="30"/>
      <c r="S371" s="30"/>
      <c r="T371" s="30"/>
      <c r="U371" s="30"/>
      <c r="V371" s="29"/>
      <c r="W371" s="8" t="s">
        <v>2173</v>
      </c>
      <c r="X371" s="363">
        <v>0</v>
      </c>
      <c r="Y371" s="363">
        <v>0</v>
      </c>
      <c r="Z371" s="363">
        <v>0</v>
      </c>
      <c r="AA371" s="363">
        <v>0</v>
      </c>
      <c r="AB371" s="363">
        <v>0</v>
      </c>
      <c r="AC371" s="363">
        <v>0</v>
      </c>
      <c r="AD371" s="363">
        <v>0</v>
      </c>
      <c r="AE371" s="363">
        <v>0</v>
      </c>
      <c r="AF371" s="363">
        <v>0</v>
      </c>
      <c r="AG371" s="363">
        <v>0</v>
      </c>
      <c r="AH371" s="29"/>
    </row>
    <row r="372" spans="9:34" ht="19.5" customHeight="1" hidden="1">
      <c r="I372" s="18"/>
      <c r="J372" s="18"/>
      <c r="K372" s="20"/>
      <c r="L372" s="10"/>
      <c r="N372" s="30"/>
      <c r="O372" s="30"/>
      <c r="P372" s="30"/>
      <c r="Q372" s="30"/>
      <c r="R372" s="30"/>
      <c r="S372" s="30"/>
      <c r="T372" s="30"/>
      <c r="U372" s="30"/>
      <c r="V372" s="29"/>
      <c r="W372" s="6" t="s">
        <v>2174</v>
      </c>
      <c r="X372" s="360"/>
      <c r="Y372" s="360"/>
      <c r="Z372" s="360"/>
      <c r="AA372" s="360"/>
      <c r="AB372" s="360"/>
      <c r="AC372" s="360"/>
      <c r="AD372" s="360"/>
      <c r="AE372" s="360"/>
      <c r="AF372" s="360"/>
      <c r="AG372" s="360"/>
      <c r="AH372" s="29"/>
    </row>
    <row r="373" spans="9:34" ht="19.5" customHeight="1" hidden="1">
      <c r="I373" s="18"/>
      <c r="J373" s="18"/>
      <c r="K373" s="20"/>
      <c r="L373" s="10"/>
      <c r="N373" s="30"/>
      <c r="O373" s="30"/>
      <c r="P373" s="30"/>
      <c r="Q373" s="30"/>
      <c r="R373" s="30"/>
      <c r="S373" s="30"/>
      <c r="T373" s="30"/>
      <c r="U373" s="30"/>
      <c r="V373" s="29"/>
      <c r="W373" s="8" t="s">
        <v>829</v>
      </c>
      <c r="X373" s="363">
        <v>0</v>
      </c>
      <c r="Y373" s="363">
        <v>0</v>
      </c>
      <c r="Z373" s="363">
        <v>0</v>
      </c>
      <c r="AA373" s="363">
        <v>0</v>
      </c>
      <c r="AB373" s="363">
        <v>0</v>
      </c>
      <c r="AC373" s="363">
        <v>0</v>
      </c>
      <c r="AD373" s="363">
        <v>0</v>
      </c>
      <c r="AE373" s="363">
        <v>0</v>
      </c>
      <c r="AF373" s="363">
        <v>0</v>
      </c>
      <c r="AG373" s="363">
        <v>0</v>
      </c>
      <c r="AH373" s="29"/>
    </row>
    <row r="374" spans="9:34" ht="19.5" customHeight="1" hidden="1">
      <c r="I374" s="18"/>
      <c r="J374" s="18"/>
      <c r="K374" s="20"/>
      <c r="L374" s="10"/>
      <c r="N374" s="30"/>
      <c r="O374" s="30"/>
      <c r="P374" s="30"/>
      <c r="Q374" s="30"/>
      <c r="R374" s="30"/>
      <c r="S374" s="30"/>
      <c r="T374" s="30"/>
      <c r="U374" s="30"/>
      <c r="V374" s="29"/>
      <c r="AH374" s="62">
        <f>+' -'!$B$11</f>
      </c>
    </row>
    <row r="375" spans="9:34" ht="19.5" customHeight="1" hidden="1">
      <c r="I375" s="18"/>
      <c r="J375" s="18"/>
      <c r="K375" s="20"/>
      <c r="L375" s="10"/>
      <c r="N375" s="30"/>
      <c r="O375" s="30"/>
      <c r="P375" s="30"/>
      <c r="Q375" s="30"/>
      <c r="R375" s="30"/>
      <c r="S375" s="30"/>
      <c r="T375" s="30"/>
      <c r="U375" s="30"/>
      <c r="V375" s="29"/>
      <c r="AH375" s="62">
        <f>+' -'!$C$12</f>
      </c>
    </row>
    <row r="376" spans="9:34" ht="19.5" customHeight="1" hidden="1">
      <c r="I376" s="18"/>
      <c r="J376" s="18"/>
      <c r="K376" s="20"/>
      <c r="L376" s="10"/>
      <c r="N376" s="30"/>
      <c r="O376" s="30"/>
      <c r="P376" s="30"/>
      <c r="Q376" s="30"/>
      <c r="R376" s="30"/>
      <c r="S376" s="30"/>
      <c r="T376" s="30"/>
      <c r="U376" s="30"/>
      <c r="V376" s="29"/>
      <c r="W376" s="403">
        <f ca="1">NOW()</f>
        <v>39898.066792592595</v>
      </c>
      <c r="Y376" s="18" t="s">
        <v>1139</v>
      </c>
      <c r="AH376" s="29"/>
    </row>
    <row r="377" spans="9:34" ht="19.5" customHeight="1" hidden="1">
      <c r="I377" s="18"/>
      <c r="J377" s="18"/>
      <c r="K377" s="20"/>
      <c r="L377" s="10"/>
      <c r="N377" s="30"/>
      <c r="O377" s="30"/>
      <c r="P377" s="30"/>
      <c r="Q377" s="30"/>
      <c r="R377" s="30"/>
      <c r="S377" s="30"/>
      <c r="T377" s="30"/>
      <c r="U377" s="30"/>
      <c r="V377" s="29"/>
      <c r="W377" s="311"/>
      <c r="Y377" s="18"/>
      <c r="AH377" s="29"/>
    </row>
    <row r="378" spans="35:38" ht="17.25" customHeight="1">
      <c r="AI378" s="393"/>
      <c r="AJ378" s="23"/>
      <c r="AK378" s="23"/>
      <c r="AL378" s="62">
        <f>+' -'!$B$11</f>
      </c>
    </row>
    <row r="379" spans="22:37" ht="17.25" customHeight="1">
      <c r="V379" s="579"/>
      <c r="W379" s="600" t="str">
        <f>+' -'!$E$21</f>
        <v>Програмата за финансов анализ е лицензирана на:</v>
      </c>
      <c r="X379" s="579"/>
      <c r="Y379" s="579"/>
      <c r="AI379" s="22" t="s">
        <v>1479</v>
      </c>
      <c r="AJ379" s="22"/>
      <c r="AK379" s="22"/>
    </row>
    <row r="380" spans="23:37" ht="17.25" customHeight="1">
      <c r="W380" s="601"/>
      <c r="X380" s="10"/>
      <c r="Y380" s="10"/>
      <c r="AI380" s="23" t="s">
        <v>1260</v>
      </c>
      <c r="AJ380" s="23"/>
      <c r="AK380" s="23"/>
    </row>
    <row r="381" spans="23:37" ht="17.25" customHeight="1">
      <c r="W381" s="600" t="str">
        <f>+' -'!$E$22</f>
        <v>"В И Н З А В О Д"  А Д - гр. АСЕНОВГРАД</v>
      </c>
      <c r="X381" s="579"/>
      <c r="Y381" s="579"/>
      <c r="AI381" s="23" t="str">
        <f>+$A$3</f>
        <v>на  "ВИНЗАВОД"  АД - гр. Асеновград  към</v>
      </c>
      <c r="AJ381" s="23"/>
      <c r="AK381" s="23"/>
    </row>
    <row r="382" spans="35:37" ht="17.25" customHeight="1">
      <c r="AI382" s="34">
        <f>$A$4</f>
        <v>39813</v>
      </c>
      <c r="AJ382" s="34"/>
      <c r="AK382" s="34"/>
    </row>
    <row r="383" spans="35:37" ht="17.25" customHeight="1">
      <c r="AI383" s="34"/>
      <c r="AJ383" s="34"/>
      <c r="AK383" s="36" t="s">
        <v>1561</v>
      </c>
    </row>
    <row r="384" spans="35:38" ht="17.25" customHeight="1">
      <c r="AI384" s="47" t="s">
        <v>1228</v>
      </c>
      <c r="AJ384" s="33" t="str">
        <f>$P$275</f>
        <v>Текущ период</v>
      </c>
      <c r="AK384" s="33" t="str">
        <f>$S$275</f>
        <v>Предходен период</v>
      </c>
      <c r="AL384" s="29"/>
    </row>
    <row r="385" spans="35:38" ht="17.25" customHeight="1">
      <c r="AI385" s="46" t="s">
        <v>1405</v>
      </c>
      <c r="AJ385" s="33">
        <v>1</v>
      </c>
      <c r="AK385" s="33">
        <v>2</v>
      </c>
      <c r="AL385" s="29"/>
    </row>
    <row r="386" spans="35:38" ht="17.25" customHeight="1">
      <c r="AI386" s="35" t="s">
        <v>1562</v>
      </c>
      <c r="AJ386" s="35"/>
      <c r="AK386" s="35"/>
      <c r="AL386" s="29"/>
    </row>
    <row r="387" spans="35:38" ht="17.25" customHeight="1">
      <c r="AI387" s="35" t="s">
        <v>2282</v>
      </c>
      <c r="AJ387" s="66">
        <f>K222-K257</f>
        <v>103</v>
      </c>
      <c r="AK387" s="66">
        <f>L222-L257</f>
        <v>425</v>
      </c>
      <c r="AL387" s="29"/>
    </row>
    <row r="388" spans="35:38" ht="17.25" customHeight="1">
      <c r="AI388" s="38" t="s">
        <v>715</v>
      </c>
      <c r="AJ388" s="38"/>
      <c r="AK388" s="38"/>
      <c r="AL388" s="29"/>
    </row>
    <row r="389" spans="35:38" ht="17.25" customHeight="1">
      <c r="AI389" s="39" t="s">
        <v>980</v>
      </c>
      <c r="AJ389" s="41"/>
      <c r="AK389" s="41"/>
      <c r="AL389" s="29"/>
    </row>
    <row r="390" spans="35:38" ht="17.25" customHeight="1">
      <c r="AI390" s="40" t="s">
        <v>716</v>
      </c>
      <c r="AJ390" s="42"/>
      <c r="AK390" s="42"/>
      <c r="AL390" s="29"/>
    </row>
    <row r="391" spans="35:38" ht="17.25" customHeight="1">
      <c r="AI391" s="43" t="s">
        <v>717</v>
      </c>
      <c r="AJ391" s="35"/>
      <c r="AK391" s="35"/>
      <c r="AL391" s="29"/>
    </row>
    <row r="392" spans="35:38" ht="17.25" customHeight="1">
      <c r="AI392" s="43" t="s">
        <v>981</v>
      </c>
      <c r="AJ392" s="35"/>
      <c r="AK392" s="35"/>
      <c r="AL392" s="29"/>
    </row>
    <row r="393" spans="35:38" ht="17.25" customHeight="1">
      <c r="AI393" s="43" t="s">
        <v>982</v>
      </c>
      <c r="AJ393" s="35"/>
      <c r="AK393" s="35"/>
      <c r="AL393" s="29"/>
    </row>
    <row r="394" spans="35:38" ht="17.25" customHeight="1">
      <c r="AI394" s="44" t="s">
        <v>840</v>
      </c>
      <c r="AJ394" s="38"/>
      <c r="AK394" s="38"/>
      <c r="AL394" s="29"/>
    </row>
    <row r="395" spans="35:38" ht="17.25" customHeight="1">
      <c r="AI395" s="40" t="s">
        <v>841</v>
      </c>
      <c r="AJ395" s="42"/>
      <c r="AK395" s="42"/>
      <c r="AL395" s="29"/>
    </row>
    <row r="396" spans="35:38" ht="17.25" customHeight="1">
      <c r="AI396" s="43" t="s">
        <v>842</v>
      </c>
      <c r="AJ396" s="35"/>
      <c r="AK396" s="35"/>
      <c r="AL396" s="29"/>
    </row>
    <row r="397" spans="35:38" ht="17.25" customHeight="1">
      <c r="AI397" s="43" t="s">
        <v>843</v>
      </c>
      <c r="AJ397" s="35"/>
      <c r="AK397" s="35"/>
      <c r="AL397" s="29"/>
    </row>
    <row r="398" spans="35:38" ht="17.25" customHeight="1">
      <c r="AI398" s="44" t="s">
        <v>844</v>
      </c>
      <c r="AJ398" s="38"/>
      <c r="AK398" s="38"/>
      <c r="AL398" s="29"/>
    </row>
    <row r="399" spans="35:38" ht="17.25" customHeight="1">
      <c r="AI399" s="40" t="s">
        <v>845</v>
      </c>
      <c r="AJ399" s="42"/>
      <c r="AK399" s="42"/>
      <c r="AL399" s="29"/>
    </row>
    <row r="400" spans="35:38" ht="17.25" customHeight="1">
      <c r="AI400" s="43" t="s">
        <v>846</v>
      </c>
      <c r="AJ400" s="35"/>
      <c r="AK400" s="35"/>
      <c r="AL400" s="29"/>
    </row>
    <row r="401" spans="35:38" ht="17.25" customHeight="1">
      <c r="AI401" s="43" t="s">
        <v>847</v>
      </c>
      <c r="AJ401" s="35"/>
      <c r="AK401" s="35"/>
      <c r="AL401" s="29"/>
    </row>
    <row r="402" spans="35:38" ht="17.25" customHeight="1">
      <c r="AI402" s="43" t="s">
        <v>848</v>
      </c>
      <c r="AJ402" s="35"/>
      <c r="AK402" s="35"/>
      <c r="AL402" s="29"/>
    </row>
    <row r="403" spans="35:38" ht="17.25" customHeight="1">
      <c r="AI403" s="43" t="s">
        <v>849</v>
      </c>
      <c r="AJ403" s="35"/>
      <c r="AK403" s="35"/>
      <c r="AL403" s="29"/>
    </row>
    <row r="404" spans="35:38" ht="17.25" customHeight="1">
      <c r="AI404" s="43" t="s">
        <v>2275</v>
      </c>
      <c r="AJ404" s="35"/>
      <c r="AK404" s="35"/>
      <c r="AL404" s="29"/>
    </row>
    <row r="405" spans="35:38" ht="17.25" customHeight="1">
      <c r="AI405" s="44" t="s">
        <v>2276</v>
      </c>
      <c r="AJ405" s="38"/>
      <c r="AK405" s="38"/>
      <c r="AL405" s="29"/>
    </row>
    <row r="406" spans="35:38" ht="17.25" customHeight="1">
      <c r="AI406" s="40" t="s">
        <v>2277</v>
      </c>
      <c r="AJ406" s="42"/>
      <c r="AK406" s="42"/>
      <c r="AL406" s="29"/>
    </row>
    <row r="407" spans="35:38" ht="17.25" customHeight="1">
      <c r="AI407" s="43" t="s">
        <v>2278</v>
      </c>
      <c r="AJ407" s="35"/>
      <c r="AK407" s="35"/>
      <c r="AL407" s="29"/>
    </row>
    <row r="408" spans="35:38" ht="17.25" customHeight="1">
      <c r="AI408" s="45" t="s">
        <v>1262</v>
      </c>
      <c r="AJ408" s="35"/>
      <c r="AK408" s="35"/>
      <c r="AL408" s="29"/>
    </row>
    <row r="409" spans="35:38" ht="17.25" customHeight="1">
      <c r="AI409" s="35" t="s">
        <v>2279</v>
      </c>
      <c r="AJ409" s="35"/>
      <c r="AK409" s="35"/>
      <c r="AL409" s="29"/>
    </row>
    <row r="410" spans="35:38" ht="17.25" customHeight="1">
      <c r="AI410" s="44" t="s">
        <v>2280</v>
      </c>
      <c r="AJ410" s="38"/>
      <c r="AK410" s="38"/>
      <c r="AL410" s="29"/>
    </row>
    <row r="411" spans="35:38" ht="17.25" customHeight="1">
      <c r="AI411" s="40" t="s">
        <v>2416</v>
      </c>
      <c r="AJ411" s="42"/>
      <c r="AK411" s="42"/>
      <c r="AL411" s="29"/>
    </row>
    <row r="412" spans="35:38" ht="17.25" customHeight="1">
      <c r="AI412" s="44" t="s">
        <v>2417</v>
      </c>
      <c r="AJ412" s="38"/>
      <c r="AK412" s="38"/>
      <c r="AL412" s="29"/>
    </row>
    <row r="413" spans="35:38" ht="17.25" customHeight="1">
      <c r="AI413" s="40" t="s">
        <v>1227</v>
      </c>
      <c r="AJ413" s="42"/>
      <c r="AK413" s="42"/>
      <c r="AL413" s="29"/>
    </row>
    <row r="414" spans="35:38" ht="17.25" customHeight="1">
      <c r="AI414" s="43" t="s">
        <v>846</v>
      </c>
      <c r="AJ414" s="35"/>
      <c r="AK414" s="35"/>
      <c r="AL414" s="29"/>
    </row>
    <row r="415" spans="35:38" ht="17.25" customHeight="1">
      <c r="AI415" s="43" t="s">
        <v>920</v>
      </c>
      <c r="AJ415" s="35"/>
      <c r="AK415" s="35"/>
      <c r="AL415" s="29"/>
    </row>
    <row r="416" spans="35:38" ht="17.25" customHeight="1">
      <c r="AI416" s="43" t="s">
        <v>921</v>
      </c>
      <c r="AJ416" s="35"/>
      <c r="AK416" s="35"/>
      <c r="AL416" s="29"/>
    </row>
    <row r="417" spans="35:38" ht="17.25" customHeight="1">
      <c r="AI417" s="43" t="s">
        <v>1226</v>
      </c>
      <c r="AJ417" s="35"/>
      <c r="AK417" s="35"/>
      <c r="AL417" s="29"/>
    </row>
    <row r="418" spans="35:38" ht="17.25" customHeight="1">
      <c r="AI418" s="45" t="s">
        <v>1307</v>
      </c>
      <c r="AJ418" s="35"/>
      <c r="AK418" s="35"/>
      <c r="AL418" s="29"/>
    </row>
    <row r="419" spans="35:38" ht="12" customHeight="1">
      <c r="AI419" s="37"/>
      <c r="AJ419" s="37"/>
      <c r="AK419" s="37"/>
      <c r="AL419" s="62">
        <f>+' -'!$B$11</f>
      </c>
    </row>
    <row r="420" spans="35:38" ht="23.25" customHeight="1">
      <c r="AI420" s="34"/>
      <c r="AJ420" s="34"/>
      <c r="AK420" s="36" t="s">
        <v>1561</v>
      </c>
      <c r="AL420" s="29"/>
    </row>
    <row r="421" spans="35:38" ht="23.25" customHeight="1">
      <c r="AI421" s="47" t="s">
        <v>1228</v>
      </c>
      <c r="AJ421" s="33" t="str">
        <f>$P$275</f>
        <v>Текущ период</v>
      </c>
      <c r="AK421" s="33" t="str">
        <f>$S$275</f>
        <v>Предходен период</v>
      </c>
      <c r="AL421" s="29"/>
    </row>
    <row r="422" spans="35:38" ht="23.25" customHeight="1">
      <c r="AI422" s="46" t="s">
        <v>1405</v>
      </c>
      <c r="AJ422" s="33">
        <v>1</v>
      </c>
      <c r="AK422" s="33">
        <v>2</v>
      </c>
      <c r="AL422" s="29"/>
    </row>
    <row r="423" spans="35:38" ht="23.25" customHeight="1">
      <c r="AI423" s="35" t="s">
        <v>333</v>
      </c>
      <c r="AJ423" s="35"/>
      <c r="AK423" s="35"/>
      <c r="AL423" s="29"/>
    </row>
    <row r="424" spans="35:38" ht="23.25" customHeight="1">
      <c r="AI424" s="44" t="s">
        <v>2280</v>
      </c>
      <c r="AJ424" s="38"/>
      <c r="AK424" s="38"/>
      <c r="AL424" s="29"/>
    </row>
    <row r="425" spans="35:38" ht="23.25" customHeight="1">
      <c r="AI425" s="40" t="s">
        <v>334</v>
      </c>
      <c r="AJ425" s="42"/>
      <c r="AK425" s="42"/>
      <c r="AL425" s="29"/>
    </row>
    <row r="426" spans="35:38" ht="23.25" customHeight="1">
      <c r="AI426" s="44" t="s">
        <v>2417</v>
      </c>
      <c r="AJ426" s="38"/>
      <c r="AK426" s="38"/>
      <c r="AL426" s="29"/>
    </row>
    <row r="427" spans="35:38" ht="23.25" customHeight="1">
      <c r="AI427" s="40" t="s">
        <v>1306</v>
      </c>
      <c r="AJ427" s="42"/>
      <c r="AK427" s="42"/>
      <c r="AL427" s="29"/>
    </row>
    <row r="428" spans="35:38" ht="23.25" customHeight="1">
      <c r="AI428" s="43" t="s">
        <v>1066</v>
      </c>
      <c r="AJ428" s="35"/>
      <c r="AK428" s="35"/>
      <c r="AL428" s="29"/>
    </row>
    <row r="429" spans="35:38" ht="23.25" customHeight="1">
      <c r="AI429" s="43" t="s">
        <v>2382</v>
      </c>
      <c r="AJ429" s="35"/>
      <c r="AK429" s="35"/>
      <c r="AL429" s="29"/>
    </row>
    <row r="430" spans="35:38" ht="23.25" customHeight="1">
      <c r="AI430" s="40" t="s">
        <v>2383</v>
      </c>
      <c r="AJ430" s="35"/>
      <c r="AK430" s="35"/>
      <c r="AL430" s="29"/>
    </row>
    <row r="431" spans="35:38" ht="23.25" customHeight="1">
      <c r="AI431" s="43" t="s">
        <v>1301</v>
      </c>
      <c r="AJ431" s="35"/>
      <c r="AK431" s="35"/>
      <c r="AL431" s="29"/>
    </row>
    <row r="432" spans="35:38" ht="23.25" customHeight="1">
      <c r="AI432" s="43" t="s">
        <v>1302</v>
      </c>
      <c r="AJ432" s="35"/>
      <c r="AK432" s="35"/>
      <c r="AL432" s="29"/>
    </row>
    <row r="433" spans="35:38" ht="23.25" customHeight="1">
      <c r="AI433" s="45" t="s">
        <v>1307</v>
      </c>
      <c r="AJ433" s="35"/>
      <c r="AK433" s="35"/>
      <c r="AL433" s="29"/>
    </row>
    <row r="434" spans="35:38" ht="23.25" customHeight="1">
      <c r="AI434" s="48" t="s">
        <v>1303</v>
      </c>
      <c r="AJ434" s="35"/>
      <c r="AK434" s="35"/>
      <c r="AL434" s="29"/>
    </row>
    <row r="435" spans="35:38" ht="23.25" customHeight="1">
      <c r="AI435" s="43" t="s">
        <v>1304</v>
      </c>
      <c r="AJ435" s="35"/>
      <c r="AK435" s="35"/>
      <c r="AL435" s="29"/>
    </row>
    <row r="436" spans="35:38" ht="23.25" customHeight="1">
      <c r="AI436" s="43" t="s">
        <v>1305</v>
      </c>
      <c r="AJ436" s="35"/>
      <c r="AK436" s="35"/>
      <c r="AL436" s="29"/>
    </row>
    <row r="437" spans="35:38" ht="23.25" customHeight="1">
      <c r="AI437" s="37"/>
      <c r="AJ437" s="37"/>
      <c r="AK437" s="37"/>
      <c r="AL437" s="62">
        <f>+' -'!$B$11</f>
      </c>
    </row>
    <row r="438" spans="35:38" ht="23.25" customHeight="1">
      <c r="AI438" s="37"/>
      <c r="AJ438" s="37"/>
      <c r="AK438" s="37"/>
      <c r="AL438" s="62">
        <f>+' -'!$C$12</f>
      </c>
    </row>
    <row r="439" spans="35:38" ht="23.25" customHeight="1">
      <c r="AI439" s="21">
        <f ca="1">NOW()</f>
        <v>39898.066792592595</v>
      </c>
      <c r="AJ439" s="37"/>
      <c r="AK439" s="37"/>
      <c r="AL439" s="29"/>
    </row>
    <row r="440" spans="35:38" ht="23.25" customHeight="1">
      <c r="AI440" s="18" t="s">
        <v>542</v>
      </c>
      <c r="AJ440" s="37"/>
      <c r="AK440" s="37"/>
      <c r="AL440" s="29"/>
    </row>
    <row r="442" spans="39:46" ht="18" customHeight="1">
      <c r="AM442" s="152" t="str">
        <f>+$AM$513</f>
        <v>"В И Н З А В О Д"  А Д - гр. АСЕНОВГРАД</v>
      </c>
      <c r="AN442" s="1"/>
      <c r="AO442" s="1"/>
      <c r="AP442" s="1"/>
      <c r="AQ442" s="1"/>
      <c r="AR442" s="1"/>
      <c r="AS442" s="1"/>
      <c r="AT442" s="1"/>
    </row>
    <row r="443" spans="39:46" ht="18" customHeight="1">
      <c r="AM443" s="1"/>
      <c r="AN443" s="1"/>
      <c r="AO443" s="1"/>
      <c r="AP443" s="1"/>
      <c r="AQ443" s="1"/>
      <c r="AR443" s="1"/>
      <c r="AS443" s="1"/>
      <c r="AT443" s="1"/>
    </row>
    <row r="444" spans="39:46" ht="18" customHeight="1">
      <c r="AM444" s="1" t="s">
        <v>1018</v>
      </c>
      <c r="AN444" s="1"/>
      <c r="AO444" s="1"/>
      <c r="AP444" s="1"/>
      <c r="AQ444" s="1"/>
      <c r="AR444" s="1"/>
      <c r="AS444" s="1"/>
      <c r="AT444" s="1"/>
    </row>
    <row r="445" spans="39:46" ht="18" customHeight="1">
      <c r="AM445" s="18"/>
      <c r="AN445" s="18"/>
      <c r="AO445" s="18"/>
      <c r="AP445" s="18"/>
      <c r="AQ445" s="18"/>
      <c r="AR445" s="18"/>
      <c r="AS445" s="18"/>
      <c r="AT445" s="18"/>
    </row>
    <row r="446" spans="39:46" ht="18" customHeight="1">
      <c r="AM446" s="153"/>
      <c r="AN446" s="154"/>
      <c r="AO446" s="154"/>
      <c r="AP446" s="154"/>
      <c r="AQ446" s="155" t="s">
        <v>1019</v>
      </c>
      <c r="AR446" s="156">
        <f>YEAR(AN450)</f>
        <v>2007</v>
      </c>
      <c r="AS446" s="157" t="s">
        <v>2019</v>
      </c>
      <c r="AT446" s="67"/>
    </row>
    <row r="447" spans="39:46" ht="18" customHeight="1" thickBot="1">
      <c r="AM447" s="18"/>
      <c r="AN447" s="18"/>
      <c r="AO447" s="18"/>
      <c r="AP447" s="18"/>
      <c r="AQ447" s="18"/>
      <c r="AR447" s="18"/>
      <c r="AS447" s="20" t="s">
        <v>383</v>
      </c>
      <c r="AT447" s="78" t="s">
        <v>1020</v>
      </c>
    </row>
    <row r="448" spans="39:56" ht="409.5">
      <c r="AM448" s="71"/>
      <c r="AN448" s="158"/>
      <c r="AO448" s="159" t="s">
        <v>916</v>
      </c>
      <c r="AP448" s="160"/>
      <c r="AQ448" s="159" t="s">
        <v>880</v>
      </c>
      <c r="AR448" s="160"/>
      <c r="AS448" s="183" t="s">
        <v>1063</v>
      </c>
      <c r="AT448" s="120"/>
      <c r="AW448" s="71"/>
      <c r="AX448" s="158"/>
      <c r="AY448" s="159" t="s">
        <v>916</v>
      </c>
      <c r="AZ448" s="160"/>
      <c r="BA448" s="159" t="s">
        <v>880</v>
      </c>
      <c r="BB448" s="160"/>
      <c r="BC448" s="183" t="s">
        <v>1062</v>
      </c>
      <c r="BD448" s="120"/>
    </row>
    <row r="449" spans="39:56" ht="372.75" thickBot="1">
      <c r="AM449" s="161" t="s">
        <v>1612</v>
      </c>
      <c r="AN449" s="162" t="s">
        <v>1021</v>
      </c>
      <c r="AO449" s="163" t="s">
        <v>1022</v>
      </c>
      <c r="AP449" s="163" t="s">
        <v>1023</v>
      </c>
      <c r="AQ449" s="163" t="s">
        <v>1022</v>
      </c>
      <c r="AR449" s="163" t="s">
        <v>1023</v>
      </c>
      <c r="AS449" s="163" t="s">
        <v>1022</v>
      </c>
      <c r="AT449" s="164" t="s">
        <v>1023</v>
      </c>
      <c r="AW449" s="184" t="s">
        <v>1612</v>
      </c>
      <c r="AX449" s="185" t="s">
        <v>1021</v>
      </c>
      <c r="AY449" s="186" t="s">
        <v>1022</v>
      </c>
      <c r="AZ449" s="186" t="s">
        <v>1023</v>
      </c>
      <c r="BA449" s="186" t="s">
        <v>1022</v>
      </c>
      <c r="BB449" s="186" t="s">
        <v>1023</v>
      </c>
      <c r="BC449" s="186" t="s">
        <v>1022</v>
      </c>
      <c r="BD449" s="187" t="s">
        <v>1023</v>
      </c>
    </row>
    <row r="450" spans="39:56" ht="18" customHeight="1">
      <c r="AM450" s="165"/>
      <c r="AN450" s="166">
        <v>39083</v>
      </c>
      <c r="AO450" s="167">
        <v>0</v>
      </c>
      <c r="AP450" s="168"/>
      <c r="AQ450" s="167">
        <v>0</v>
      </c>
      <c r="AR450" s="168"/>
      <c r="AS450" s="167">
        <v>0</v>
      </c>
      <c r="AT450" s="169"/>
      <c r="AW450" s="188"/>
      <c r="AX450" s="189">
        <f>+AN450</f>
        <v>39083</v>
      </c>
      <c r="AY450" s="190">
        <f>+AO450</f>
        <v>0</v>
      </c>
      <c r="AZ450" s="191"/>
      <c r="BA450" s="190">
        <f>+AQ450</f>
        <v>0</v>
      </c>
      <c r="BB450" s="191"/>
      <c r="BC450" s="190">
        <f>+AS450</f>
        <v>0</v>
      </c>
      <c r="BD450" s="192"/>
    </row>
    <row r="451" spans="39:56" ht="18" customHeight="1">
      <c r="AM451" s="170">
        <v>1</v>
      </c>
      <c r="AN451" s="171" t="e">
        <f>EOMONTH($AN$450,AM451-1)</f>
        <v>#NAME?</v>
      </c>
      <c r="AO451" s="167">
        <v>0</v>
      </c>
      <c r="AP451" s="172">
        <f>(AO450+AO451)/2</f>
        <v>0</v>
      </c>
      <c r="AQ451" s="167">
        <v>0</v>
      </c>
      <c r="AR451" s="172">
        <f>(AQ450+AQ451)/2</f>
        <v>0</v>
      </c>
      <c r="AS451" s="167">
        <v>0</v>
      </c>
      <c r="AT451" s="173">
        <f>(AS450+AS451)/2</f>
        <v>0</v>
      </c>
      <c r="AW451" s="193">
        <v>1</v>
      </c>
      <c r="AX451" s="189" t="e">
        <f>EOMONTH($AX$450,AW451-1)</f>
        <v>#NAME?</v>
      </c>
      <c r="AY451" s="190">
        <f aca="true" t="shared" si="1" ref="AY451:BC462">+AO451</f>
        <v>0</v>
      </c>
      <c r="AZ451" s="190">
        <f>(AY450+AY451)/2</f>
        <v>0</v>
      </c>
      <c r="BA451" s="190">
        <f t="shared" si="1"/>
        <v>0</v>
      </c>
      <c r="BB451" s="190">
        <f>(BA450+BA451)/2</f>
        <v>0</v>
      </c>
      <c r="BC451" s="190">
        <f t="shared" si="1"/>
        <v>0</v>
      </c>
      <c r="BD451" s="194">
        <f>(BC450+BC451)/2</f>
        <v>0</v>
      </c>
    </row>
    <row r="452" spans="39:56" ht="18" customHeight="1">
      <c r="AM452" s="170">
        <v>2</v>
      </c>
      <c r="AN452" s="171" t="e">
        <f>EOMONTH($AN$450,AM452-1)</f>
        <v>#NAME?</v>
      </c>
      <c r="AO452" s="167">
        <v>0</v>
      </c>
      <c r="AP452" s="172">
        <f>(AO450/2+AO451+AO452/2)/AM452</f>
        <v>0</v>
      </c>
      <c r="AQ452" s="167">
        <v>0</v>
      </c>
      <c r="AR452" s="172">
        <f>(AQ450/2+AQ451+AQ452/2)/AM452</f>
        <v>0</v>
      </c>
      <c r="AS452" s="167">
        <v>0</v>
      </c>
      <c r="AT452" s="173">
        <f>(AS450/2+AS451+AS452/2)/AM452</f>
        <v>0</v>
      </c>
      <c r="AW452" s="193">
        <v>2</v>
      </c>
      <c r="AX452" s="189" t="e">
        <f>EOMONTH($AX$450,AW452-1)</f>
        <v>#NAME?</v>
      </c>
      <c r="AY452" s="190">
        <f t="shared" si="1"/>
        <v>0</v>
      </c>
      <c r="AZ452" s="190">
        <f>IF(AY452&gt;0,(AY450/2+AY451+AY452/2)/AM452,+AZ451)</f>
        <v>0</v>
      </c>
      <c r="BA452" s="190">
        <f t="shared" si="1"/>
        <v>0</v>
      </c>
      <c r="BB452" s="190">
        <f>IF(BA452&gt;0,(BA450/2+BA451+BA452/2)/AM452,+BB451)</f>
        <v>0</v>
      </c>
      <c r="BC452" s="190">
        <f t="shared" si="1"/>
        <v>0</v>
      </c>
      <c r="BD452" s="194">
        <f>IF(BC452&gt;0,(BC450/2+BC451+BC452/2)/AM452,+BD451)</f>
        <v>0</v>
      </c>
    </row>
    <row r="453" spans="39:56" ht="18" customHeight="1">
      <c r="AM453" s="170">
        <v>3</v>
      </c>
      <c r="AN453" s="171" t="e">
        <f>EOMONTH($AN$450,AM453-1)</f>
        <v>#NAME?</v>
      </c>
      <c r="AO453" s="167">
        <v>0</v>
      </c>
      <c r="AP453" s="172">
        <f>(SUM(AO451:AO452)+(AO450+AO453)/2)/AM453</f>
        <v>0</v>
      </c>
      <c r="AQ453" s="167">
        <v>0</v>
      </c>
      <c r="AR453" s="172">
        <f>(SUM(AQ451:AQ452)+(AQ450+AQ453)/2)/AM453</f>
        <v>0</v>
      </c>
      <c r="AS453" s="167">
        <v>0</v>
      </c>
      <c r="AT453" s="173">
        <f>(SUM(AS451:AS452)+(AS450+AS453)/2)/AM453</f>
        <v>0</v>
      </c>
      <c r="AW453" s="193">
        <v>3</v>
      </c>
      <c r="AX453" s="189" t="e">
        <f>EOMONTH($AX$450,AW453-1)</f>
        <v>#NAME?</v>
      </c>
      <c r="AY453" s="190">
        <f t="shared" si="1"/>
        <v>0</v>
      </c>
      <c r="AZ453" s="190">
        <f>IF(AY453&gt;0,(SUM(AY451:AY452)+(AY450+AY453)/2)/AM453,+AZ452)</f>
        <v>0</v>
      </c>
      <c r="BA453" s="190">
        <f t="shared" si="1"/>
        <v>0</v>
      </c>
      <c r="BB453" s="190">
        <f>IF(BA453&gt;0,(SUM(BA451:BA452)+(BA450+BA453)/2)/AM453,+BB452)</f>
        <v>0</v>
      </c>
      <c r="BC453" s="190">
        <f t="shared" si="1"/>
        <v>0</v>
      </c>
      <c r="BD453" s="194">
        <f>IF(BC453&gt;0,(SUM(BC451:BC452)+(BC450+BC453)/2)/AM453,+BD452)</f>
        <v>0</v>
      </c>
    </row>
    <row r="454" spans="39:56" ht="18" customHeight="1">
      <c r="AM454" s="170">
        <v>4</v>
      </c>
      <c r="AN454" s="171" t="e">
        <f>EOMONTH($AN$450,AM454-1)</f>
        <v>#NAME?</v>
      </c>
      <c r="AO454" s="167">
        <v>0</v>
      </c>
      <c r="AP454" s="172">
        <f>(SUM(AO451:AO453)+(AO450+AO454)/2)/AM454</f>
        <v>0</v>
      </c>
      <c r="AQ454" s="167">
        <v>0</v>
      </c>
      <c r="AR454" s="172">
        <f>(SUM(AQ451:AQ453)+(AQ450+AQ454)/2)/AM454</f>
        <v>0</v>
      </c>
      <c r="AS454" s="167">
        <v>0</v>
      </c>
      <c r="AT454" s="173">
        <f>(SUM(AS451:AS453)+(AS450+AS454)/2)/AM454</f>
        <v>0</v>
      </c>
      <c r="AW454" s="193">
        <v>4</v>
      </c>
      <c r="AX454" s="189" t="e">
        <f>EOMONTH($AX$450,AW454-1)</f>
        <v>#NAME?</v>
      </c>
      <c r="AY454" s="190">
        <f t="shared" si="1"/>
        <v>0</v>
      </c>
      <c r="AZ454" s="190">
        <f>IF(AY454&gt;0,(SUM(AY451:AY453)+(AY450+AY454)/2)/AM454,+AZ453)</f>
        <v>0</v>
      </c>
      <c r="BA454" s="190">
        <f t="shared" si="1"/>
        <v>0</v>
      </c>
      <c r="BB454" s="190">
        <f>IF(BA454&gt;0,(SUM(BA451:BA453)+(BA450+BA454)/2)/AM454,+BB453)</f>
        <v>0</v>
      </c>
      <c r="BC454" s="190">
        <f t="shared" si="1"/>
        <v>0</v>
      </c>
      <c r="BD454" s="194">
        <f>IF(BC454&gt;0,(SUM(BC451:BC453)+(BC450+BC454)/2)/AM454,+BD453)</f>
        <v>0</v>
      </c>
    </row>
    <row r="455" spans="39:56" ht="18" customHeight="1">
      <c r="AM455" s="170">
        <v>5</v>
      </c>
      <c r="AN455" s="171" t="e">
        <f>EOMONTH($AN$450,AM455-1)</f>
        <v>#NAME?</v>
      </c>
      <c r="AO455" s="167">
        <v>0</v>
      </c>
      <c r="AP455" s="172">
        <f>(SUM(AO451:AO454)+(AO450+AO455)/2)/AM455</f>
        <v>0</v>
      </c>
      <c r="AQ455" s="167">
        <v>0</v>
      </c>
      <c r="AR455" s="172">
        <f>(SUM(AQ451:AQ454)+(AQ450+AQ455)/2)/AM455</f>
        <v>0</v>
      </c>
      <c r="AS455" s="167">
        <v>0</v>
      </c>
      <c r="AT455" s="173">
        <f>(SUM(AS451:AS454)+(AS450+AS455)/2)/AM455</f>
        <v>0</v>
      </c>
      <c r="AW455" s="193">
        <v>5</v>
      </c>
      <c r="AX455" s="189" t="e">
        <f>EOMONTH($AX$450,AW455-1)</f>
        <v>#NAME?</v>
      </c>
      <c r="AY455" s="190">
        <f t="shared" si="1"/>
        <v>0</v>
      </c>
      <c r="AZ455" s="190">
        <f>IF(AY455&gt;0,(SUM(AY451:AY454)+(AY450+AY455)/2)/AM455,+AZ454)</f>
        <v>0</v>
      </c>
      <c r="BA455" s="190">
        <f t="shared" si="1"/>
        <v>0</v>
      </c>
      <c r="BB455" s="190">
        <f>IF(BA455&gt;0,(SUM(BA451:BA454)+(BA450+BA455)/2)/AM455,+BB454)</f>
        <v>0</v>
      </c>
      <c r="BC455" s="190">
        <f t="shared" si="1"/>
        <v>0</v>
      </c>
      <c r="BD455" s="194">
        <f>IF(BC455&gt;0,(SUM(BC451:BC454)+(BC450+BC455)/2)/AM455,+BD454)</f>
        <v>0</v>
      </c>
    </row>
    <row r="456" spans="39:56" ht="18" customHeight="1">
      <c r="AM456" s="170">
        <v>6</v>
      </c>
      <c r="AN456" s="171" t="e">
        <f>EOMONTH($AN$450,AM456-1)</f>
        <v>#NAME?</v>
      </c>
      <c r="AO456" s="167">
        <v>0</v>
      </c>
      <c r="AP456" s="172">
        <f>(SUM(AO451:AO455)+(AO450+AO456)/2)/AM456</f>
        <v>0</v>
      </c>
      <c r="AQ456" s="167">
        <v>0</v>
      </c>
      <c r="AR456" s="172">
        <f>(SUM(AQ451:AQ455)+(AQ450+AQ456)/2)/AM456</f>
        <v>0</v>
      </c>
      <c r="AS456" s="167">
        <v>0</v>
      </c>
      <c r="AT456" s="173">
        <f>(SUM(AS451:AS455)+(AS450+AS456)/2)/AM456</f>
        <v>0</v>
      </c>
      <c r="AW456" s="193">
        <v>6</v>
      </c>
      <c r="AX456" s="189" t="e">
        <f>EOMONTH($AX$450,AW456-1)</f>
        <v>#NAME?</v>
      </c>
      <c r="AY456" s="190">
        <f t="shared" si="1"/>
        <v>0</v>
      </c>
      <c r="AZ456" s="190">
        <f>IF(AY456&gt;0,(SUM(AY451:AY455)+(AY450+AY456)/2)/AM456,+AZ455)</f>
        <v>0</v>
      </c>
      <c r="BA456" s="190">
        <f t="shared" si="1"/>
        <v>0</v>
      </c>
      <c r="BB456" s="190">
        <f>IF(BA456&gt;0,(SUM(BA451:BA455)+(BA450+BA456)/2)/AM456,+BB455)</f>
        <v>0</v>
      </c>
      <c r="BC456" s="190">
        <f t="shared" si="1"/>
        <v>0</v>
      </c>
      <c r="BD456" s="194">
        <f>IF(BC456&gt;0,(SUM(BC451:BC455)+(BC450+BC456)/2)/AM456,+BD455)</f>
        <v>0</v>
      </c>
    </row>
    <row r="457" spans="39:56" ht="18" customHeight="1">
      <c r="AM457" s="170">
        <v>7</v>
      </c>
      <c r="AN457" s="171" t="e">
        <f>EOMONTH($AN$450,AM457-1)</f>
        <v>#NAME?</v>
      </c>
      <c r="AO457" s="167">
        <v>0</v>
      </c>
      <c r="AP457" s="172">
        <f>(SUM(AO451:AO456)+(AO450+AO457)/2)/AM457</f>
        <v>0</v>
      </c>
      <c r="AQ457" s="167">
        <v>0</v>
      </c>
      <c r="AR457" s="172">
        <f>(SUM(AQ451:AQ456)+(AQ450+AQ457)/2)/AM457</f>
        <v>0</v>
      </c>
      <c r="AS457" s="167">
        <v>0</v>
      </c>
      <c r="AT457" s="173">
        <f>(SUM(AS451:AS456)+(AS450+AS457)/2)/AM457</f>
        <v>0</v>
      </c>
      <c r="AW457" s="193">
        <v>7</v>
      </c>
      <c r="AX457" s="189" t="e">
        <f>EOMONTH($AX$450,AW457-1)</f>
        <v>#NAME?</v>
      </c>
      <c r="AY457" s="190">
        <f t="shared" si="1"/>
        <v>0</v>
      </c>
      <c r="AZ457" s="190">
        <f>IF(AY457&gt;0,(SUM(AY451:AY456)+(AY450+AY457)/2)/AM457,+AZ456)</f>
        <v>0</v>
      </c>
      <c r="BA457" s="190">
        <f t="shared" si="1"/>
        <v>0</v>
      </c>
      <c r="BB457" s="190">
        <f>IF(BA457&gt;0,(SUM(BA451:BA456)+(BA450+BA457)/2)/AM457,+BB456)</f>
        <v>0</v>
      </c>
      <c r="BC457" s="190">
        <f t="shared" si="1"/>
        <v>0</v>
      </c>
      <c r="BD457" s="194">
        <f>IF(BC457&gt;0,(SUM(BC451:BC456)+(BC450+BC457)/2)/AM457,+BD456)</f>
        <v>0</v>
      </c>
    </row>
    <row r="458" spans="39:56" ht="18" customHeight="1">
      <c r="AM458" s="170">
        <v>8</v>
      </c>
      <c r="AN458" s="171" t="e">
        <f>EOMONTH($AN$450,AM458-1)</f>
        <v>#NAME?</v>
      </c>
      <c r="AO458" s="167">
        <v>0</v>
      </c>
      <c r="AP458" s="172">
        <f>(SUM(AO451:AO457)+(AO450+AO458)/2)/AM458</f>
        <v>0</v>
      </c>
      <c r="AQ458" s="167">
        <v>0</v>
      </c>
      <c r="AR458" s="172">
        <f>(SUM(AQ451:AQ457)+(AQ450+AQ458)/2)/AM458</f>
        <v>0</v>
      </c>
      <c r="AS458" s="167">
        <v>0</v>
      </c>
      <c r="AT458" s="173">
        <f>(SUM(AS451:AS457)+(AS450+AS458)/2)/AM458</f>
        <v>0</v>
      </c>
      <c r="AW458" s="193">
        <v>8</v>
      </c>
      <c r="AX458" s="189" t="e">
        <f>EOMONTH($AX$450,AW458-1)</f>
        <v>#NAME?</v>
      </c>
      <c r="AY458" s="190">
        <f t="shared" si="1"/>
        <v>0</v>
      </c>
      <c r="AZ458" s="190">
        <f>IF(AY458&gt;0,(SUM(AY451:AY457)+(AY450+AY458)/2)/AM458,+AZ457)</f>
        <v>0</v>
      </c>
      <c r="BA458" s="190">
        <f t="shared" si="1"/>
        <v>0</v>
      </c>
      <c r="BB458" s="190">
        <f>IF(BA458&gt;0,(SUM(BA451:BA457)+(BA450+BA458)/2)/AM458,+BB457)</f>
        <v>0</v>
      </c>
      <c r="BC458" s="190">
        <f t="shared" si="1"/>
        <v>0</v>
      </c>
      <c r="BD458" s="194">
        <f>IF(BC458&gt;0,(SUM(BC451:BC457)+(BC450+BC458)/2)/AM458,+BD457)</f>
        <v>0</v>
      </c>
    </row>
    <row r="459" spans="39:56" ht="18" customHeight="1">
      <c r="AM459" s="170">
        <v>9</v>
      </c>
      <c r="AN459" s="171" t="e">
        <f>EOMONTH($AN$450,AM459-1)</f>
        <v>#NAME?</v>
      </c>
      <c r="AO459" s="167">
        <v>0</v>
      </c>
      <c r="AP459" s="172">
        <f>(SUM(AO451:AO458)+(AO450+AO459)/2)/AM459</f>
        <v>0</v>
      </c>
      <c r="AQ459" s="167">
        <v>0</v>
      </c>
      <c r="AR459" s="172">
        <f>(SUM(AQ451:AQ458)+(AQ450+AQ459)/2)/AM459</f>
        <v>0</v>
      </c>
      <c r="AS459" s="167">
        <v>0</v>
      </c>
      <c r="AT459" s="173">
        <f>(SUM(AS451:AS458)+(AS450+AS459)/2)/AM459</f>
        <v>0</v>
      </c>
      <c r="AW459" s="193">
        <v>9</v>
      </c>
      <c r="AX459" s="189" t="e">
        <f>EOMONTH($AX$450,AW459-1)</f>
        <v>#NAME?</v>
      </c>
      <c r="AY459" s="190">
        <f t="shared" si="1"/>
        <v>0</v>
      </c>
      <c r="AZ459" s="190">
        <f>IF(AY459&gt;0,(SUM(AY451:AY458)+(AY450+AY459)/2)/AM459,+AZ458)</f>
        <v>0</v>
      </c>
      <c r="BA459" s="190">
        <f t="shared" si="1"/>
        <v>0</v>
      </c>
      <c r="BB459" s="190">
        <f>IF(BA459&gt;0,(SUM(BA451:BA458)+(BA450+BA459)/2)/AM459,+BB458)</f>
        <v>0</v>
      </c>
      <c r="BC459" s="190">
        <f t="shared" si="1"/>
        <v>0</v>
      </c>
      <c r="BD459" s="194">
        <f>IF(BC459&gt;0,(SUM(BC451:BC458)+(BC450+BC459)/2)/AM459,+BD458)</f>
        <v>0</v>
      </c>
    </row>
    <row r="460" spans="39:56" ht="18" customHeight="1">
      <c r="AM460" s="170">
        <v>10</v>
      </c>
      <c r="AN460" s="171" t="e">
        <f>EOMONTH($AN$450,AM460-1)</f>
        <v>#NAME?</v>
      </c>
      <c r="AO460" s="167">
        <v>0</v>
      </c>
      <c r="AP460" s="172">
        <f>(SUM(AO451:AO459)+(AO450+AO460)/2)/AM460</f>
        <v>0</v>
      </c>
      <c r="AQ460" s="167">
        <v>0</v>
      </c>
      <c r="AR460" s="172">
        <f>(SUM(AQ451:AQ459)+(AQ450+AQ460)/2)/AM460</f>
        <v>0</v>
      </c>
      <c r="AS460" s="167">
        <v>0</v>
      </c>
      <c r="AT460" s="173">
        <f>(SUM(AS451:AS459)+(AS450+AS460)/2)/AM460</f>
        <v>0</v>
      </c>
      <c r="AW460" s="193">
        <v>10</v>
      </c>
      <c r="AX460" s="189" t="e">
        <f>EOMONTH($AX$450,AW460-1)</f>
        <v>#NAME?</v>
      </c>
      <c r="AY460" s="190">
        <f t="shared" si="1"/>
        <v>0</v>
      </c>
      <c r="AZ460" s="190">
        <f>IF(AY460&gt;0,(SUM(AY451:AY459)+(AY450+AY460)/2)/AM460,+AZ459)</f>
        <v>0</v>
      </c>
      <c r="BA460" s="190">
        <f t="shared" si="1"/>
        <v>0</v>
      </c>
      <c r="BB460" s="190">
        <f>IF(BA460&gt;0,(SUM(BA451:BA459)+(BA450+BA460)/2)/AM460,+BB459)</f>
        <v>0</v>
      </c>
      <c r="BC460" s="190">
        <f t="shared" si="1"/>
        <v>0</v>
      </c>
      <c r="BD460" s="194">
        <f>IF(BC460&gt;0,(SUM(BC451:BC459)+(BC450+BC460)/2)/AM460,+BD459)</f>
        <v>0</v>
      </c>
    </row>
    <row r="461" spans="39:56" ht="18" customHeight="1">
      <c r="AM461" s="170">
        <v>11</v>
      </c>
      <c r="AN461" s="171" t="e">
        <f>EOMONTH($AN$450,AM461-1)</f>
        <v>#NAME?</v>
      </c>
      <c r="AO461" s="167">
        <v>0</v>
      </c>
      <c r="AP461" s="172">
        <f>(SUM(AO451:AO460)+(AO450+AO461)/2)/AM461</f>
        <v>0</v>
      </c>
      <c r="AQ461" s="167">
        <v>0</v>
      </c>
      <c r="AR461" s="172">
        <f>(SUM(AQ451:AQ460)+(AQ450+AQ461)/2)/AM461</f>
        <v>0</v>
      </c>
      <c r="AS461" s="167">
        <v>0</v>
      </c>
      <c r="AT461" s="173">
        <f>(SUM(AS451:AS460)+(AS450+AS461)/2)/AM461</f>
        <v>0</v>
      </c>
      <c r="AW461" s="193">
        <v>11</v>
      </c>
      <c r="AX461" s="189" t="e">
        <f>EOMONTH($AX$450,AW461-1)</f>
        <v>#NAME?</v>
      </c>
      <c r="AY461" s="190">
        <f t="shared" si="1"/>
        <v>0</v>
      </c>
      <c r="AZ461" s="190">
        <f>IF(AY461&gt;0,(SUM(AY451:AY460)+(AY450+AY461)/2)/AM461,+AZ460)</f>
        <v>0</v>
      </c>
      <c r="BA461" s="190">
        <f t="shared" si="1"/>
        <v>0</v>
      </c>
      <c r="BB461" s="190">
        <f>IF(BA461&gt;0,(SUM(BA451:BA460)+(BA450+BA461)/2)/AM461,+BB460)</f>
        <v>0</v>
      </c>
      <c r="BC461" s="190">
        <f t="shared" si="1"/>
        <v>0</v>
      </c>
      <c r="BD461" s="194">
        <f>IF(BC461&gt;0,(SUM(BC451:BC460)+(BC450+BC461)/2)/AM461,+BD460)</f>
        <v>0</v>
      </c>
    </row>
    <row r="462" spans="39:56" ht="18" customHeight="1" thickBot="1">
      <c r="AM462" s="174">
        <v>12</v>
      </c>
      <c r="AN462" s="175" t="e">
        <f>EOMONTH($AN$450,AM462-1)</f>
        <v>#NAME?</v>
      </c>
      <c r="AO462" s="176">
        <v>0</v>
      </c>
      <c r="AP462" s="177">
        <f>(SUM(AO451:AO461)+(AO450+AO462)/2)/AM462</f>
        <v>0</v>
      </c>
      <c r="AQ462" s="176">
        <v>0</v>
      </c>
      <c r="AR462" s="177">
        <f>(SUM(AQ451:AQ461)+(AQ450+AQ462)/2)/AM462</f>
        <v>0</v>
      </c>
      <c r="AS462" s="176">
        <v>0</v>
      </c>
      <c r="AT462" s="178">
        <f>(SUM(AS451:AS461)+(AS450+AS462)/2)/AM462</f>
        <v>0</v>
      </c>
      <c r="AW462" s="195">
        <v>12</v>
      </c>
      <c r="AX462" s="189" t="e">
        <f>EOMONTH($AX$450,AW462-1)</f>
        <v>#NAME?</v>
      </c>
      <c r="AY462" s="196">
        <f t="shared" si="1"/>
        <v>0</v>
      </c>
      <c r="AZ462" s="196">
        <f>IF(AY462&gt;0,(SUM(AY451:AY461)+(AY450+AY462)/2)/AM462,+AZ461)</f>
        <v>0</v>
      </c>
      <c r="BA462" s="196">
        <f t="shared" si="1"/>
        <v>0</v>
      </c>
      <c r="BB462" s="196">
        <f>IF(BA462&gt;0,(SUM(BA451:BA461)+(BA450+BA462)/2)/AM462,+BB461)</f>
        <v>0</v>
      </c>
      <c r="BC462" s="196">
        <f t="shared" si="1"/>
        <v>0</v>
      </c>
      <c r="BD462" s="197">
        <f>IF(BC462&gt;0,(SUM(BC451:BC461)+(BC450+BC462)/2)/AM462,+BD461)</f>
        <v>0</v>
      </c>
    </row>
    <row r="463" spans="39:56" ht="18" customHeight="1" thickBot="1">
      <c r="AM463" s="18"/>
      <c r="AN463" s="18"/>
      <c r="AO463" s="18"/>
      <c r="AP463" s="18"/>
      <c r="AQ463" s="18"/>
      <c r="AR463" s="18"/>
      <c r="AS463" s="18"/>
      <c r="AT463" s="18"/>
      <c r="AW463" s="198"/>
      <c r="AX463" s="199" t="s">
        <v>1064</v>
      </c>
      <c r="AY463" s="200" t="s">
        <v>1016</v>
      </c>
      <c r="AZ463" s="201">
        <f>+AZ462</f>
        <v>0</v>
      </c>
      <c r="BA463" s="200" t="s">
        <v>1016</v>
      </c>
      <c r="BB463" s="201">
        <f>+BB462</f>
        <v>0</v>
      </c>
      <c r="BC463" s="200" t="s">
        <v>1016</v>
      </c>
      <c r="BD463" s="202">
        <f>+BD462</f>
        <v>0</v>
      </c>
    </row>
    <row r="464" spans="39:56" ht="18" customHeight="1">
      <c r="AM464" s="18"/>
      <c r="AN464" s="179">
        <f ca="1">TODAY()</f>
        <v>39898</v>
      </c>
      <c r="AO464" s="179"/>
      <c r="AP464" s="18"/>
      <c r="AQ464" s="20" t="s">
        <v>1392</v>
      </c>
      <c r="AR464" s="18"/>
      <c r="AS464" s="18"/>
      <c r="AT464" s="18"/>
      <c r="AW464" s="18"/>
      <c r="AX464" s="18"/>
      <c r="AY464" s="18"/>
      <c r="AZ464" s="18"/>
      <c r="BA464" s="18"/>
      <c r="BB464" s="18"/>
      <c r="BC464" s="18"/>
      <c r="BD464" s="18"/>
    </row>
    <row r="465" spans="39:56" ht="18" customHeight="1">
      <c r="AM465" s="18"/>
      <c r="AN465" s="18"/>
      <c r="AO465" s="18"/>
      <c r="AP465" s="18"/>
      <c r="AQ465" s="18"/>
      <c r="AR465" s="18"/>
      <c r="AS465" s="18"/>
      <c r="AT465" s="18"/>
      <c r="AW465" s="18"/>
      <c r="AX465" s="18"/>
      <c r="AY465" s="18"/>
      <c r="AZ465" s="18"/>
      <c r="BA465" s="18"/>
      <c r="BB465" s="18"/>
      <c r="BC465" s="18"/>
      <c r="BD465" s="18"/>
    </row>
    <row r="466" spans="39:56" ht="18" customHeight="1">
      <c r="AM466" s="18"/>
      <c r="AN466" s="18" t="s">
        <v>1393</v>
      </c>
      <c r="AO466" s="18"/>
      <c r="AP466" s="18"/>
      <c r="AQ466" s="18"/>
      <c r="AR466" s="18"/>
      <c r="AS466" s="18"/>
      <c r="AT466" s="18"/>
      <c r="AW466" s="18"/>
      <c r="AX466" s="18"/>
      <c r="AY466" s="18"/>
      <c r="AZ466" s="18"/>
      <c r="BA466" s="18"/>
      <c r="BB466" s="18"/>
      <c r="BC466" s="18"/>
      <c r="BD466" s="18"/>
    </row>
    <row r="467" spans="39:56" ht="18" customHeight="1">
      <c r="AM467" s="180" t="s">
        <v>1058</v>
      </c>
      <c r="AN467" s="18"/>
      <c r="AO467" s="18"/>
      <c r="AP467" s="18"/>
      <c r="AQ467" s="18"/>
      <c r="AR467" s="18"/>
      <c r="AS467" s="18"/>
      <c r="AT467" s="18"/>
      <c r="AW467" s="18"/>
      <c r="AX467" s="18"/>
      <c r="AY467" s="18"/>
      <c r="AZ467" s="18"/>
      <c r="BA467" s="18"/>
      <c r="BB467" s="18"/>
      <c r="BC467" s="18"/>
      <c r="BD467" s="18"/>
    </row>
    <row r="468" spans="39:56" ht="18" customHeight="1">
      <c r="AM468" s="18" t="s">
        <v>1059</v>
      </c>
      <c r="AN468" s="18"/>
      <c r="AO468" s="18"/>
      <c r="AP468" s="18"/>
      <c r="AQ468" s="18"/>
      <c r="AR468" s="18"/>
      <c r="AS468" s="18"/>
      <c r="AT468" s="18"/>
      <c r="AW468" s="18"/>
      <c r="AX468" s="18"/>
      <c r="AY468" s="18"/>
      <c r="AZ468" s="18"/>
      <c r="BA468" s="18"/>
      <c r="BB468" s="18"/>
      <c r="BC468" s="18"/>
      <c r="BD468" s="18"/>
    </row>
    <row r="469" spans="39:56" ht="18" customHeight="1">
      <c r="AM469" s="18"/>
      <c r="AN469" s="18"/>
      <c r="AO469" s="18"/>
      <c r="AP469" s="18"/>
      <c r="AQ469" s="18"/>
      <c r="AR469" s="18"/>
      <c r="AS469" s="18"/>
      <c r="AT469" s="18"/>
      <c r="AW469" s="18"/>
      <c r="AX469" s="18"/>
      <c r="AY469" s="18"/>
      <c r="AZ469" s="18"/>
      <c r="BA469" s="18"/>
      <c r="BB469" s="18"/>
      <c r="BC469" s="18"/>
      <c r="BD469" s="18"/>
    </row>
    <row r="470" spans="39:56" ht="18" customHeight="1">
      <c r="AM470" s="152" t="str">
        <f>+$AM$513</f>
        <v>"В И Н З А В О Д"  А Д - гр. АСЕНОВГРАД</v>
      </c>
      <c r="AN470" s="1"/>
      <c r="AO470" s="1"/>
      <c r="AP470" s="1"/>
      <c r="AQ470" s="1"/>
      <c r="AR470" s="1"/>
      <c r="AS470" s="1"/>
      <c r="AT470" s="1"/>
      <c r="AW470" s="18"/>
      <c r="AX470" s="18"/>
      <c r="AY470" s="18"/>
      <c r="AZ470" s="18"/>
      <c r="BA470" s="18"/>
      <c r="BB470" s="18"/>
      <c r="BC470" s="18"/>
      <c r="BD470" s="18"/>
    </row>
    <row r="471" spans="39:56" ht="18" customHeight="1">
      <c r="AM471" s="1"/>
      <c r="AN471" s="1"/>
      <c r="AO471" s="1"/>
      <c r="AP471" s="1"/>
      <c r="AQ471" s="1"/>
      <c r="AR471" s="1"/>
      <c r="AS471" s="1"/>
      <c r="AT471" s="1"/>
      <c r="AW471" s="18"/>
      <c r="AX471" s="18"/>
      <c r="AY471" s="18"/>
      <c r="AZ471" s="18"/>
      <c r="BA471" s="18"/>
      <c r="BB471" s="18"/>
      <c r="BC471" s="18"/>
      <c r="BD471" s="18"/>
    </row>
    <row r="472" spans="39:56" ht="18" customHeight="1">
      <c r="AM472" s="1" t="s">
        <v>1018</v>
      </c>
      <c r="AN472" s="1"/>
      <c r="AO472" s="1"/>
      <c r="AP472" s="1"/>
      <c r="AQ472" s="1"/>
      <c r="AR472" s="1"/>
      <c r="AS472" s="1"/>
      <c r="AT472" s="1"/>
      <c r="AW472" s="203"/>
      <c r="AX472" s="203"/>
      <c r="AY472" s="203"/>
      <c r="AZ472" s="203"/>
      <c r="BA472" s="203"/>
      <c r="BB472" s="203"/>
      <c r="BC472" s="203"/>
      <c r="BD472" s="203"/>
    </row>
    <row r="473" spans="39:56" ht="18" customHeight="1">
      <c r="AM473" s="18"/>
      <c r="AN473" s="18"/>
      <c r="AO473" s="18"/>
      <c r="AP473" s="18"/>
      <c r="AQ473" s="18"/>
      <c r="AR473" s="18"/>
      <c r="AS473" s="18"/>
      <c r="AT473" s="18"/>
      <c r="AW473" s="18"/>
      <c r="AX473" s="18"/>
      <c r="AY473" s="18"/>
      <c r="AZ473" s="18"/>
      <c r="BA473" s="18"/>
      <c r="BB473" s="18"/>
      <c r="BC473" s="18"/>
      <c r="BD473" s="18"/>
    </row>
    <row r="474" spans="39:56" ht="18" customHeight="1">
      <c r="AM474" s="153"/>
      <c r="AN474" s="154"/>
      <c r="AO474" s="154"/>
      <c r="AP474" s="154"/>
      <c r="AQ474" s="155" t="s">
        <v>1060</v>
      </c>
      <c r="AR474" s="156">
        <f>YEAR(AN478)</f>
        <v>2006</v>
      </c>
      <c r="AS474" s="157" t="s">
        <v>2019</v>
      </c>
      <c r="AT474" s="67"/>
      <c r="AW474" s="18"/>
      <c r="AX474" s="18"/>
      <c r="AY474" s="18"/>
      <c r="AZ474" s="18"/>
      <c r="BA474" s="18"/>
      <c r="BB474" s="18"/>
      <c r="BC474" s="18"/>
      <c r="BD474" s="18"/>
    </row>
    <row r="475" spans="39:56" ht="18" customHeight="1" thickBot="1">
      <c r="AM475" s="18"/>
      <c r="AN475" s="18"/>
      <c r="AO475" s="18"/>
      <c r="AP475" s="18"/>
      <c r="AQ475" s="18"/>
      <c r="AR475" s="18"/>
      <c r="AS475" s="20" t="s">
        <v>383</v>
      </c>
      <c r="AT475" s="78" t="s">
        <v>1020</v>
      </c>
      <c r="AW475" s="18"/>
      <c r="AX475" s="18"/>
      <c r="AY475" s="18"/>
      <c r="AZ475" s="18"/>
      <c r="BA475" s="18"/>
      <c r="BB475" s="18"/>
      <c r="BC475" s="18"/>
      <c r="BD475" s="18"/>
    </row>
    <row r="476" spans="39:56" ht="409.5">
      <c r="AM476" s="71"/>
      <c r="AN476" s="158"/>
      <c r="AO476" s="159" t="s">
        <v>916</v>
      </c>
      <c r="AP476" s="160"/>
      <c r="AQ476" s="159" t="s">
        <v>880</v>
      </c>
      <c r="AR476" s="160"/>
      <c r="AS476" s="183" t="s">
        <v>1063</v>
      </c>
      <c r="AT476" s="120"/>
      <c r="AW476" s="71"/>
      <c r="AX476" s="158"/>
      <c r="AY476" s="159" t="s">
        <v>916</v>
      </c>
      <c r="AZ476" s="160"/>
      <c r="BA476" s="159" t="s">
        <v>880</v>
      </c>
      <c r="BB476" s="160"/>
      <c r="BC476" s="183" t="s">
        <v>1062</v>
      </c>
      <c r="BD476" s="120"/>
    </row>
    <row r="477" spans="39:56" ht="372.75" thickBot="1">
      <c r="AM477" s="161" t="s">
        <v>1612</v>
      </c>
      <c r="AN477" s="162" t="s">
        <v>1021</v>
      </c>
      <c r="AO477" s="163" t="s">
        <v>1022</v>
      </c>
      <c r="AP477" s="163" t="s">
        <v>1023</v>
      </c>
      <c r="AQ477" s="163" t="s">
        <v>1022</v>
      </c>
      <c r="AR477" s="163" t="s">
        <v>1023</v>
      </c>
      <c r="AS477" s="163" t="s">
        <v>1022</v>
      </c>
      <c r="AT477" s="164" t="s">
        <v>1023</v>
      </c>
      <c r="AW477" s="184" t="s">
        <v>1612</v>
      </c>
      <c r="AX477" s="185" t="s">
        <v>1021</v>
      </c>
      <c r="AY477" s="186" t="s">
        <v>1022</v>
      </c>
      <c r="AZ477" s="186" t="s">
        <v>1023</v>
      </c>
      <c r="BA477" s="186" t="s">
        <v>1022</v>
      </c>
      <c r="BB477" s="186" t="s">
        <v>1023</v>
      </c>
      <c r="BC477" s="186" t="s">
        <v>1022</v>
      </c>
      <c r="BD477" s="187" t="s">
        <v>1023</v>
      </c>
    </row>
    <row r="478" spans="39:56" ht="18" customHeight="1">
      <c r="AM478" s="165"/>
      <c r="AN478" s="166">
        <v>38718</v>
      </c>
      <c r="AO478" s="167">
        <v>0</v>
      </c>
      <c r="AP478" s="168"/>
      <c r="AQ478" s="167">
        <v>0</v>
      </c>
      <c r="AR478" s="168"/>
      <c r="AS478" s="167">
        <v>0</v>
      </c>
      <c r="AT478" s="169"/>
      <c r="AW478" s="188"/>
      <c r="AX478" s="189">
        <f>+AN478</f>
        <v>38718</v>
      </c>
      <c r="AY478" s="190">
        <f>+AO478</f>
        <v>0</v>
      </c>
      <c r="AZ478" s="191"/>
      <c r="BA478" s="190">
        <f>+AQ478</f>
        <v>0</v>
      </c>
      <c r="BB478" s="191"/>
      <c r="BC478" s="190">
        <f>+AS478</f>
        <v>0</v>
      </c>
      <c r="BD478" s="192"/>
    </row>
    <row r="479" spans="39:56" ht="18" customHeight="1">
      <c r="AM479" s="170">
        <v>1</v>
      </c>
      <c r="AN479" s="171" t="e">
        <f>EOMONTH(AN478,AM479-1)</f>
        <v>#NAME?</v>
      </c>
      <c r="AO479" s="167">
        <v>0</v>
      </c>
      <c r="AP479" s="172">
        <f>(AO478+AO479)/2</f>
        <v>0</v>
      </c>
      <c r="AQ479" s="167">
        <v>0</v>
      </c>
      <c r="AR479" s="172">
        <f>(AQ478+AQ479)/2</f>
        <v>0</v>
      </c>
      <c r="AS479" s="167">
        <v>0</v>
      </c>
      <c r="AT479" s="173">
        <f>(AS478+AS479)/2</f>
        <v>0</v>
      </c>
      <c r="AW479" s="193">
        <v>1</v>
      </c>
      <c r="AX479" s="189" t="e">
        <f aca="true" t="shared" si="2" ref="AX479:AY490">+AN479</f>
        <v>#NAME?</v>
      </c>
      <c r="AY479" s="190">
        <f t="shared" si="2"/>
        <v>0</v>
      </c>
      <c r="AZ479" s="190">
        <f>(AY478+AY479)/2</f>
        <v>0</v>
      </c>
      <c r="BA479" s="190">
        <f aca="true" t="shared" si="3" ref="BA479:BA490">+AQ479</f>
        <v>0</v>
      </c>
      <c r="BB479" s="190">
        <f>(BA478+BA479)/2</f>
        <v>0</v>
      </c>
      <c r="BC479" s="190">
        <f aca="true" t="shared" si="4" ref="BC479:BC490">+AS479</f>
        <v>0</v>
      </c>
      <c r="BD479" s="194">
        <f>(BC478+BC479)/2</f>
        <v>0</v>
      </c>
    </row>
    <row r="480" spans="39:56" ht="18" customHeight="1">
      <c r="AM480" s="170">
        <v>2</v>
      </c>
      <c r="AN480" s="171" t="e">
        <f>EOMONTH(AN478,AM480-1)</f>
        <v>#NAME?</v>
      </c>
      <c r="AO480" s="167">
        <v>0</v>
      </c>
      <c r="AP480" s="172">
        <f>(AO478/2+AO479+AO480/2)/AM480</f>
        <v>0</v>
      </c>
      <c r="AQ480" s="167">
        <v>0</v>
      </c>
      <c r="AR480" s="172">
        <f>(AQ478/2+AQ479+AQ480/2)/AM480</f>
        <v>0</v>
      </c>
      <c r="AS480" s="167">
        <v>0</v>
      </c>
      <c r="AT480" s="173">
        <f>(AS478/2+AS479+AS480/2)/AM480</f>
        <v>0</v>
      </c>
      <c r="AW480" s="193">
        <v>2</v>
      </c>
      <c r="AX480" s="189" t="e">
        <f t="shared" si="2"/>
        <v>#NAME?</v>
      </c>
      <c r="AY480" s="190">
        <f t="shared" si="2"/>
        <v>0</v>
      </c>
      <c r="AZ480" s="190">
        <f>IF(AY480&gt;0,(AY478/2+AY479+AY480/2)/AM480,+AZ479)</f>
        <v>0</v>
      </c>
      <c r="BA480" s="190">
        <f t="shared" si="3"/>
        <v>0</v>
      </c>
      <c r="BB480" s="190">
        <f>IF(BA480&gt;0,(BA478/2+BA479+BA480/2)/AM480,+BB479)</f>
        <v>0</v>
      </c>
      <c r="BC480" s="190">
        <f t="shared" si="4"/>
        <v>0</v>
      </c>
      <c r="BD480" s="194">
        <f>IF(BC480&gt;0,(BC478/2+BC479+BC480/2)/AM480,+BD479)</f>
        <v>0</v>
      </c>
    </row>
    <row r="481" spans="39:56" ht="18" customHeight="1">
      <c r="AM481" s="170">
        <v>3</v>
      </c>
      <c r="AN481" s="171" t="e">
        <f>EOMONTH(AN478,AM481-1)</f>
        <v>#NAME?</v>
      </c>
      <c r="AO481" s="167">
        <v>0</v>
      </c>
      <c r="AP481" s="172">
        <f>(SUM(AO479:AO480)+(AO478+AO481)/2)/AM481</f>
        <v>0</v>
      </c>
      <c r="AQ481" s="167">
        <v>0</v>
      </c>
      <c r="AR481" s="172">
        <f>(SUM(AQ479:AQ480)+(AQ478+AQ481)/2)/AM481</f>
        <v>0</v>
      </c>
      <c r="AS481" s="167">
        <v>0</v>
      </c>
      <c r="AT481" s="173">
        <f>(SUM(AS479:AS480)+(AS478+AS481)/2)/AM481</f>
        <v>0</v>
      </c>
      <c r="AW481" s="193">
        <v>3</v>
      </c>
      <c r="AX481" s="189" t="e">
        <f t="shared" si="2"/>
        <v>#NAME?</v>
      </c>
      <c r="AY481" s="190">
        <f t="shared" si="2"/>
        <v>0</v>
      </c>
      <c r="AZ481" s="190">
        <f>IF(AY481&gt;0,(SUM(AY479:AY480)+(AY478+AY481)/2)/AM481,+AZ480)</f>
        <v>0</v>
      </c>
      <c r="BA481" s="190">
        <f t="shared" si="3"/>
        <v>0</v>
      </c>
      <c r="BB481" s="190">
        <f>IF(BA481&gt;0,(SUM(BA479:BA480)+(BA478+BA481)/2)/AM481,+BB480)</f>
        <v>0</v>
      </c>
      <c r="BC481" s="190">
        <f t="shared" si="4"/>
        <v>0</v>
      </c>
      <c r="BD481" s="194">
        <f>IF(BC481&gt;0,(SUM(BC479:BC480)+(BC478+BC481)/2)/AM481,+BD480)</f>
        <v>0</v>
      </c>
    </row>
    <row r="482" spans="39:56" ht="18" customHeight="1">
      <c r="AM482" s="170">
        <v>4</v>
      </c>
      <c r="AN482" s="171" t="e">
        <f>EOMONTH(AN478,AM482-1)</f>
        <v>#NAME?</v>
      </c>
      <c r="AO482" s="167">
        <v>0</v>
      </c>
      <c r="AP482" s="172">
        <f>(SUM(AO479:AO481)+(AO478+AO482)/2)/AM482</f>
        <v>0</v>
      </c>
      <c r="AQ482" s="167">
        <v>0</v>
      </c>
      <c r="AR482" s="172">
        <f>(SUM(AQ479:AQ481)+(AQ478+AQ482)/2)/AM482</f>
        <v>0</v>
      </c>
      <c r="AS482" s="167">
        <v>0</v>
      </c>
      <c r="AT482" s="173">
        <f>(SUM(AS479:AS481)+(AS478+AS482)/2)/AM482</f>
        <v>0</v>
      </c>
      <c r="AW482" s="193">
        <v>4</v>
      </c>
      <c r="AX482" s="189" t="e">
        <f t="shared" si="2"/>
        <v>#NAME?</v>
      </c>
      <c r="AY482" s="190">
        <f t="shared" si="2"/>
        <v>0</v>
      </c>
      <c r="AZ482" s="190">
        <f>IF(AY482&gt;0,(SUM(AY479:AY481)+(AY478+AY482)/2)/AM482,+AZ481)</f>
        <v>0</v>
      </c>
      <c r="BA482" s="190">
        <f t="shared" si="3"/>
        <v>0</v>
      </c>
      <c r="BB482" s="190">
        <f>IF(BA482&gt;0,(SUM(BA479:BA481)+(BA478+BA482)/2)/AM482,+BB481)</f>
        <v>0</v>
      </c>
      <c r="BC482" s="190">
        <f t="shared" si="4"/>
        <v>0</v>
      </c>
      <c r="BD482" s="194">
        <f>IF(BC482&gt;0,(SUM(BC479:BC481)+(BC478+BC482)/2)/AM482,+BD481)</f>
        <v>0</v>
      </c>
    </row>
    <row r="483" spans="39:56" ht="18" customHeight="1">
      <c r="AM483" s="170">
        <v>5</v>
      </c>
      <c r="AN483" s="171" t="e">
        <f>EOMONTH(AN478,AM483-1)</f>
        <v>#NAME?</v>
      </c>
      <c r="AO483" s="167">
        <v>0</v>
      </c>
      <c r="AP483" s="172">
        <f>(SUM(AO479:AO482)+(AO478+AO483)/2)/AM483</f>
        <v>0</v>
      </c>
      <c r="AQ483" s="167">
        <v>0</v>
      </c>
      <c r="AR483" s="172">
        <f>(SUM(AQ479:AQ482)+(AQ478+AQ483)/2)/AM483</f>
        <v>0</v>
      </c>
      <c r="AS483" s="167">
        <v>0</v>
      </c>
      <c r="AT483" s="173">
        <f>(SUM(AS479:AS482)+(AS478+AS483)/2)/AM483</f>
        <v>0</v>
      </c>
      <c r="AW483" s="193">
        <v>5</v>
      </c>
      <c r="AX483" s="189" t="e">
        <f t="shared" si="2"/>
        <v>#NAME?</v>
      </c>
      <c r="AY483" s="190">
        <f t="shared" si="2"/>
        <v>0</v>
      </c>
      <c r="AZ483" s="190">
        <f>IF(AY483&gt;0,(SUM(AY479:AY482)+(AY478+AY483)/2)/AM483,+AZ482)</f>
        <v>0</v>
      </c>
      <c r="BA483" s="190">
        <f t="shared" si="3"/>
        <v>0</v>
      </c>
      <c r="BB483" s="190">
        <f>IF(BA483&gt;0,(SUM(BA479:BA482)+(BA478+BA483)/2)/AM483,+BB482)</f>
        <v>0</v>
      </c>
      <c r="BC483" s="190">
        <f t="shared" si="4"/>
        <v>0</v>
      </c>
      <c r="BD483" s="194">
        <f>IF(BC483&gt;0,(SUM(BC479:BC482)+(BC478+BC483)/2)/AM483,+BD482)</f>
        <v>0</v>
      </c>
    </row>
    <row r="484" spans="39:56" ht="18" customHeight="1">
      <c r="AM484" s="170">
        <v>6</v>
      </c>
      <c r="AN484" s="171" t="e">
        <f>EOMONTH(AN478,AM484-1)</f>
        <v>#NAME?</v>
      </c>
      <c r="AO484" s="167">
        <v>0</v>
      </c>
      <c r="AP484" s="172">
        <f>(SUM(AO479:AO483)+(AO478+AO484)/2)/AM484</f>
        <v>0</v>
      </c>
      <c r="AQ484" s="167">
        <v>0</v>
      </c>
      <c r="AR484" s="172">
        <f>(SUM(AQ479:AQ483)+(AQ478+AQ484)/2)/AM484</f>
        <v>0</v>
      </c>
      <c r="AS484" s="167">
        <v>0</v>
      </c>
      <c r="AT484" s="173">
        <f>(SUM(AS479:AS483)+(AS478+AS484)/2)/AM484</f>
        <v>0</v>
      </c>
      <c r="AW484" s="193">
        <v>6</v>
      </c>
      <c r="AX484" s="189" t="e">
        <f t="shared" si="2"/>
        <v>#NAME?</v>
      </c>
      <c r="AY484" s="190">
        <f t="shared" si="2"/>
        <v>0</v>
      </c>
      <c r="AZ484" s="190">
        <f>IF(AY484&gt;0,(SUM(AY479:AY483)+(AY478+AY484)/2)/AM484,+AZ483)</f>
        <v>0</v>
      </c>
      <c r="BA484" s="190">
        <f t="shared" si="3"/>
        <v>0</v>
      </c>
      <c r="BB484" s="190">
        <f>IF(BA484&gt;0,(SUM(BA479:BA483)+(BA478+BA484)/2)/AM484,+BB483)</f>
        <v>0</v>
      </c>
      <c r="BC484" s="190">
        <f t="shared" si="4"/>
        <v>0</v>
      </c>
      <c r="BD484" s="194">
        <f>IF(BC484&gt;0,(SUM(BC479:BC483)+(BC478+BC484)/2)/AM484,+BD483)</f>
        <v>0</v>
      </c>
    </row>
    <row r="485" spans="39:56" ht="18" customHeight="1">
      <c r="AM485" s="170">
        <v>7</v>
      </c>
      <c r="AN485" s="171" t="e">
        <f>EOMONTH(AN478,AM485-1)</f>
        <v>#NAME?</v>
      </c>
      <c r="AO485" s="167">
        <v>0</v>
      </c>
      <c r="AP485" s="172">
        <f>(SUM(AO479:AO484)+(AO478+AO485)/2)/AM485</f>
        <v>0</v>
      </c>
      <c r="AQ485" s="167">
        <v>0</v>
      </c>
      <c r="AR485" s="172">
        <f>(SUM(AQ479:AQ484)+(AQ478+AQ485)/2)/AM485</f>
        <v>0</v>
      </c>
      <c r="AS485" s="167">
        <v>0</v>
      </c>
      <c r="AT485" s="173">
        <f>(SUM(AS479:AS484)+(AS478+AS485)/2)/AM485</f>
        <v>0</v>
      </c>
      <c r="AW485" s="193">
        <v>7</v>
      </c>
      <c r="AX485" s="189" t="e">
        <f t="shared" si="2"/>
        <v>#NAME?</v>
      </c>
      <c r="AY485" s="190">
        <f t="shared" si="2"/>
        <v>0</v>
      </c>
      <c r="AZ485" s="190">
        <f>IF(AY485&gt;0,(SUM(AY479:AY484)+(AY478+AY485)/2)/AM485,+AZ484)</f>
        <v>0</v>
      </c>
      <c r="BA485" s="190">
        <f t="shared" si="3"/>
        <v>0</v>
      </c>
      <c r="BB485" s="190">
        <f>IF(BA485&gt;0,(SUM(BA479:BA484)+(BA478+BA485)/2)/AM485,+BB484)</f>
        <v>0</v>
      </c>
      <c r="BC485" s="190">
        <f t="shared" si="4"/>
        <v>0</v>
      </c>
      <c r="BD485" s="194">
        <f>IF(BC485&gt;0,(SUM(BC479:BC484)+(BC478+BC485)/2)/AM485,+BD484)</f>
        <v>0</v>
      </c>
    </row>
    <row r="486" spans="39:56" ht="18" customHeight="1">
      <c r="AM486" s="170">
        <v>8</v>
      </c>
      <c r="AN486" s="171" t="e">
        <f>EOMONTH(AN478,AM486-1)</f>
        <v>#NAME?</v>
      </c>
      <c r="AO486" s="167">
        <v>0</v>
      </c>
      <c r="AP486" s="172">
        <f>(SUM(AO479:AO485)+(AO478+AO486)/2)/AM486</f>
        <v>0</v>
      </c>
      <c r="AQ486" s="167">
        <v>0</v>
      </c>
      <c r="AR486" s="172">
        <f>(SUM(AQ479:AQ485)+(AQ478+AQ486)/2)/AM486</f>
        <v>0</v>
      </c>
      <c r="AS486" s="167">
        <v>0</v>
      </c>
      <c r="AT486" s="173">
        <f>(SUM(AS479:AS485)+(AS478+AS486)/2)/AM486</f>
        <v>0</v>
      </c>
      <c r="AW486" s="193">
        <v>8</v>
      </c>
      <c r="AX486" s="189" t="e">
        <f t="shared" si="2"/>
        <v>#NAME?</v>
      </c>
      <c r="AY486" s="190">
        <f t="shared" si="2"/>
        <v>0</v>
      </c>
      <c r="AZ486" s="190">
        <f>IF(AY486&gt;0,(SUM(AY479:AY485)+(AY478+AY486)/2)/AM486,+AZ485)</f>
        <v>0</v>
      </c>
      <c r="BA486" s="190">
        <f t="shared" si="3"/>
        <v>0</v>
      </c>
      <c r="BB486" s="190">
        <f>IF(BA486&gt;0,(SUM(BA479:BA485)+(BA478+BA486)/2)/AM486,+BB485)</f>
        <v>0</v>
      </c>
      <c r="BC486" s="190">
        <f t="shared" si="4"/>
        <v>0</v>
      </c>
      <c r="BD486" s="194">
        <f>IF(BC486&gt;0,(SUM(BC479:BC485)+(BC478+BC486)/2)/AM486,+BD485)</f>
        <v>0</v>
      </c>
    </row>
    <row r="487" spans="39:56" ht="18" customHeight="1">
      <c r="AM487" s="170">
        <v>9</v>
      </c>
      <c r="AN487" s="171" t="e">
        <f>EOMONTH(AN478,AM487-1)</f>
        <v>#NAME?</v>
      </c>
      <c r="AO487" s="167">
        <v>0</v>
      </c>
      <c r="AP487" s="172">
        <f>(SUM(AO479:AO486)+(AO478+AO487)/2)/AM487</f>
        <v>0</v>
      </c>
      <c r="AQ487" s="167">
        <v>0</v>
      </c>
      <c r="AR487" s="172">
        <f>(SUM(AQ479:AQ486)+(AQ478+AQ487)/2)/AM487</f>
        <v>0</v>
      </c>
      <c r="AS487" s="167">
        <v>0</v>
      </c>
      <c r="AT487" s="173">
        <f>(SUM(AS479:AS486)+(AS478+AS487)/2)/AM487</f>
        <v>0</v>
      </c>
      <c r="AW487" s="193">
        <v>9</v>
      </c>
      <c r="AX487" s="189" t="e">
        <f t="shared" si="2"/>
        <v>#NAME?</v>
      </c>
      <c r="AY487" s="190">
        <f t="shared" si="2"/>
        <v>0</v>
      </c>
      <c r="AZ487" s="190">
        <f>IF(AY487&gt;0,(SUM(AY479:AY486)+(AY478+AY487)/2)/AM487,+AZ486)</f>
        <v>0</v>
      </c>
      <c r="BA487" s="190">
        <f t="shared" si="3"/>
        <v>0</v>
      </c>
      <c r="BB487" s="190">
        <f>IF(BA487&gt;0,(SUM(BA479:BA486)+(BA478+BA487)/2)/AM487,+BB486)</f>
        <v>0</v>
      </c>
      <c r="BC487" s="190">
        <f t="shared" si="4"/>
        <v>0</v>
      </c>
      <c r="BD487" s="194">
        <f>IF(BC487&gt;0,(SUM(BC479:BC486)+(BC478+BC487)/2)/AM487,+BD486)</f>
        <v>0</v>
      </c>
    </row>
    <row r="488" spans="39:56" ht="18" customHeight="1">
      <c r="AM488" s="170">
        <v>10</v>
      </c>
      <c r="AN488" s="171" t="e">
        <f>EOMONTH(AN478,AM488-1)</f>
        <v>#NAME?</v>
      </c>
      <c r="AO488" s="167">
        <v>0</v>
      </c>
      <c r="AP488" s="172">
        <f>(SUM(AO479:AO487)+(AO478+AO488)/2)/AM488</f>
        <v>0</v>
      </c>
      <c r="AQ488" s="167">
        <v>0</v>
      </c>
      <c r="AR488" s="172">
        <f>(SUM(AQ479:AQ487)+(AQ478+AQ488)/2)/AM488</f>
        <v>0</v>
      </c>
      <c r="AS488" s="167">
        <v>0</v>
      </c>
      <c r="AT488" s="173">
        <f>(SUM(AS479:AS487)+(AS478+AS488)/2)/AM488</f>
        <v>0</v>
      </c>
      <c r="AW488" s="193">
        <v>10</v>
      </c>
      <c r="AX488" s="189" t="e">
        <f t="shared" si="2"/>
        <v>#NAME?</v>
      </c>
      <c r="AY488" s="190">
        <f t="shared" si="2"/>
        <v>0</v>
      </c>
      <c r="AZ488" s="190">
        <f>IF(AY488&gt;0,(SUM(AY479:AY487)+(AY478+AY488)/2)/AM488,+AZ487)</f>
        <v>0</v>
      </c>
      <c r="BA488" s="190">
        <f t="shared" si="3"/>
        <v>0</v>
      </c>
      <c r="BB488" s="190">
        <f>IF(BA488&gt;0,(SUM(BA479:BA487)+(BA478+BA488)/2)/AM488,+BB487)</f>
        <v>0</v>
      </c>
      <c r="BC488" s="190">
        <f t="shared" si="4"/>
        <v>0</v>
      </c>
      <c r="BD488" s="194">
        <f>IF(BC488&gt;0,(SUM(BC479:BC487)+(BC478+BC488)/2)/AM488,+BD487)</f>
        <v>0</v>
      </c>
    </row>
    <row r="489" spans="39:56" ht="18" customHeight="1">
      <c r="AM489" s="170">
        <v>11</v>
      </c>
      <c r="AN489" s="171" t="e">
        <f>EOMONTH(AN478,AM489-1)</f>
        <v>#NAME?</v>
      </c>
      <c r="AO489" s="167">
        <v>0</v>
      </c>
      <c r="AP489" s="172">
        <f>(SUM(AO479:AO488)+(AO478+AO489)/2)/AM489</f>
        <v>0</v>
      </c>
      <c r="AQ489" s="167">
        <v>0</v>
      </c>
      <c r="AR489" s="172">
        <f>(SUM(AQ479:AQ488)+(AQ478+AQ489)/2)/AM489</f>
        <v>0</v>
      </c>
      <c r="AS489" s="167">
        <v>0</v>
      </c>
      <c r="AT489" s="173">
        <f>(SUM(AS479:AS488)+(AS478+AS489)/2)/AM489</f>
        <v>0</v>
      </c>
      <c r="AW489" s="193">
        <v>11</v>
      </c>
      <c r="AX489" s="189" t="e">
        <f t="shared" si="2"/>
        <v>#NAME?</v>
      </c>
      <c r="AY489" s="190">
        <f t="shared" si="2"/>
        <v>0</v>
      </c>
      <c r="AZ489" s="190">
        <f>IF(AY489&gt;0,(SUM(AY479:AY488)+(AY478+AY489)/2)/AM489,+AZ488)</f>
        <v>0</v>
      </c>
      <c r="BA489" s="190">
        <f t="shared" si="3"/>
        <v>0</v>
      </c>
      <c r="BB489" s="190">
        <f>IF(BA489&gt;0,(SUM(BA479:BA488)+(BA478+BA489)/2)/AM489,+BB488)</f>
        <v>0</v>
      </c>
      <c r="BC489" s="190">
        <f t="shared" si="4"/>
        <v>0</v>
      </c>
      <c r="BD489" s="194">
        <f>IF(BC489&gt;0,(SUM(BC479:BC488)+(BC478+BC489)/2)/AM489,+BD488)</f>
        <v>0</v>
      </c>
    </row>
    <row r="490" spans="39:56" ht="18" customHeight="1" thickBot="1">
      <c r="AM490" s="174">
        <v>12</v>
      </c>
      <c r="AN490" s="175" t="e">
        <f>EOMONTH(AN478,AM490-1)</f>
        <v>#NAME?</v>
      </c>
      <c r="AO490" s="176">
        <v>0</v>
      </c>
      <c r="AP490" s="177">
        <f>(SUM(AO479:AO489)+(AO478+AO490)/2)/AM490</f>
        <v>0</v>
      </c>
      <c r="AQ490" s="176">
        <v>0</v>
      </c>
      <c r="AR490" s="177">
        <f>(SUM(AQ479:AQ489)+(AQ478+AQ490)/2)/AM490</f>
        <v>0</v>
      </c>
      <c r="AS490" s="176">
        <v>0</v>
      </c>
      <c r="AT490" s="178">
        <f>(SUM(AS479:AS489)+(AS478+AS490)/2)/AM490</f>
        <v>0</v>
      </c>
      <c r="AW490" s="195">
        <v>12</v>
      </c>
      <c r="AX490" s="189" t="e">
        <f t="shared" si="2"/>
        <v>#NAME?</v>
      </c>
      <c r="AY490" s="196">
        <f t="shared" si="2"/>
        <v>0</v>
      </c>
      <c r="AZ490" s="196">
        <f>IF(AY490&gt;0,(SUM(AY479:AY489)+(AY478+AY490)/2)/AM490,+AZ489)</f>
        <v>0</v>
      </c>
      <c r="BA490" s="196">
        <f t="shared" si="3"/>
        <v>0</v>
      </c>
      <c r="BB490" s="196">
        <f>IF(BA490&gt;0,(SUM(BA479:BA489)+(BA478+BA490)/2)/AM490,+BB489)</f>
        <v>0</v>
      </c>
      <c r="BC490" s="196">
        <f t="shared" si="4"/>
        <v>0</v>
      </c>
      <c r="BD490" s="197">
        <f>IF(BC490&gt;0,(SUM(BC479:BC489)+(BC478+BC490)/2)/AM490,+BD489)</f>
        <v>0</v>
      </c>
    </row>
    <row r="491" spans="39:56" ht="18" customHeight="1" thickBot="1">
      <c r="AM491" s="18"/>
      <c r="AN491" s="18"/>
      <c r="AO491" s="18"/>
      <c r="AP491" s="18"/>
      <c r="AQ491" s="18"/>
      <c r="AR491" s="18"/>
      <c r="AS491" s="18"/>
      <c r="AT491" s="18"/>
      <c r="AW491" s="198"/>
      <c r="AX491" s="199" t="s">
        <v>1064</v>
      </c>
      <c r="AY491" s="200" t="s">
        <v>1016</v>
      </c>
      <c r="AZ491" s="201">
        <f>+AZ490</f>
        <v>0</v>
      </c>
      <c r="BA491" s="200" t="s">
        <v>1016</v>
      </c>
      <c r="BB491" s="201">
        <f>+BB490</f>
        <v>0</v>
      </c>
      <c r="BC491" s="200" t="s">
        <v>1016</v>
      </c>
      <c r="BD491" s="202">
        <f>+BD490</f>
        <v>0</v>
      </c>
    </row>
    <row r="492" spans="39:56" ht="18" customHeight="1">
      <c r="AM492" s="18"/>
      <c r="AN492" s="179">
        <f ca="1">TODAY()</f>
        <v>39898</v>
      </c>
      <c r="AO492" s="181"/>
      <c r="AP492" s="18"/>
      <c r="AQ492" s="20" t="s">
        <v>1392</v>
      </c>
      <c r="AR492" s="18"/>
      <c r="AS492" s="18"/>
      <c r="AT492" s="18"/>
      <c r="AW492" s="18"/>
      <c r="AX492" s="18"/>
      <c r="AY492" s="18"/>
      <c r="AZ492" s="18"/>
      <c r="BA492" s="18"/>
      <c r="BB492" s="18"/>
      <c r="BC492" s="18"/>
      <c r="BD492" s="18"/>
    </row>
    <row r="494" spans="39:45" ht="18" customHeight="1">
      <c r="AM494" s="151" t="s">
        <v>382</v>
      </c>
      <c r="AN494" s="150"/>
      <c r="AO494" s="80"/>
      <c r="AP494" s="80"/>
      <c r="AQ494" s="80"/>
      <c r="AR494" s="80"/>
      <c r="AS494" s="80"/>
    </row>
    <row r="495" spans="39:45" ht="18" customHeight="1">
      <c r="AM495" s="383" t="s">
        <v>1695</v>
      </c>
      <c r="AN495" s="150"/>
      <c r="AO495" s="150"/>
      <c r="AP495" s="150"/>
      <c r="AQ495" s="150"/>
      <c r="AR495" s="150"/>
      <c r="AS495" s="150"/>
    </row>
    <row r="496" spans="39:45" ht="18" customHeight="1">
      <c r="AM496" s="205" t="s">
        <v>1612</v>
      </c>
      <c r="AN496" s="1511" t="s">
        <v>1613</v>
      </c>
      <c r="AO496" s="1511"/>
      <c r="AP496" s="1511"/>
      <c r="AQ496" s="1511"/>
      <c r="AR496" s="138" t="str">
        <f>$D$7</f>
        <v>Текуща</v>
      </c>
      <c r="AS496" s="139" t="str">
        <f>$E$7</f>
        <v>Предходна</v>
      </c>
    </row>
    <row r="497" spans="39:45" ht="18" customHeight="1">
      <c r="AM497" s="206"/>
      <c r="AN497" s="204"/>
      <c r="AO497" s="142"/>
      <c r="AP497" s="142"/>
      <c r="AQ497" s="142"/>
      <c r="AR497" s="140" t="str">
        <f>$D$8</f>
        <v>година</v>
      </c>
      <c r="AS497" s="141" t="str">
        <f>$E$8</f>
        <v>година</v>
      </c>
    </row>
    <row r="498" spans="39:45" ht="18" customHeight="1">
      <c r="AM498" s="3">
        <v>1</v>
      </c>
      <c r="AN498" s="99" t="s">
        <v>566</v>
      </c>
      <c r="AO498" s="143"/>
      <c r="AP498" s="143"/>
      <c r="AQ498" s="143"/>
      <c r="AR498" s="6"/>
      <c r="AS498" s="6"/>
    </row>
    <row r="499" spans="39:45" ht="18" customHeight="1">
      <c r="AM499" s="26"/>
      <c r="AN499" s="144" t="s">
        <v>567</v>
      </c>
      <c r="AO499" s="10"/>
      <c r="AP499" s="10"/>
      <c r="AQ499" s="10"/>
      <c r="AR499" s="123">
        <v>0</v>
      </c>
      <c r="AS499" s="123">
        <v>0</v>
      </c>
    </row>
    <row r="500" spans="39:45" ht="18" customHeight="1">
      <c r="AM500" s="136">
        <v>2</v>
      </c>
      <c r="AN500" s="145" t="s">
        <v>1014</v>
      </c>
      <c r="AO500" s="146"/>
      <c r="AP500" s="146"/>
      <c r="AQ500" s="146"/>
      <c r="AR500" s="123">
        <v>0</v>
      </c>
      <c r="AS500" s="123">
        <v>0</v>
      </c>
    </row>
    <row r="501" spans="39:45" ht="18" customHeight="1">
      <c r="AM501" s="3">
        <v>3</v>
      </c>
      <c r="AN501" s="99" t="s">
        <v>1067</v>
      </c>
      <c r="AO501" s="143"/>
      <c r="AP501" s="143"/>
      <c r="AQ501" s="143"/>
      <c r="AR501" s="6"/>
      <c r="AS501" s="6"/>
    </row>
    <row r="502" spans="39:45" ht="18" customHeight="1">
      <c r="AM502" s="26"/>
      <c r="AN502" s="144" t="s">
        <v>1068</v>
      </c>
      <c r="AO502" s="10"/>
      <c r="AP502" s="10"/>
      <c r="AQ502" s="10"/>
      <c r="AR502" s="123">
        <v>0</v>
      </c>
      <c r="AS502" s="366" t="s">
        <v>1016</v>
      </c>
    </row>
    <row r="503" spans="39:45" ht="18" customHeight="1">
      <c r="AM503" s="136">
        <v>4</v>
      </c>
      <c r="AN503" s="145" t="s">
        <v>1061</v>
      </c>
      <c r="AO503" s="146"/>
      <c r="AP503" s="146"/>
      <c r="AQ503" s="146"/>
      <c r="AR503" s="182">
        <f>IF(AZ463&gt;0,AZ463,(D68+E68)/2)</f>
        <v>6895.5</v>
      </c>
      <c r="AS503" s="182">
        <f>IF(AZ491&gt;0,AZ491,E68)</f>
        <v>6572</v>
      </c>
    </row>
    <row r="504" spans="39:45" ht="18" customHeight="1">
      <c r="AM504" s="2">
        <v>5</v>
      </c>
      <c r="AN504" s="99" t="s">
        <v>951</v>
      </c>
      <c r="AO504" s="143"/>
      <c r="AP504" s="143"/>
      <c r="AQ504" s="143"/>
      <c r="AR504" s="6"/>
      <c r="AS504" s="6"/>
    </row>
    <row r="505" spans="39:45" ht="18" customHeight="1">
      <c r="AM505" s="26"/>
      <c r="AN505" s="144" t="s">
        <v>1065</v>
      </c>
      <c r="AO505" s="10"/>
      <c r="AP505" s="10"/>
      <c r="AQ505" s="10"/>
      <c r="AR505" s="182">
        <f>IF(BB463&gt;0,BB463,(D71+E71)/2)</f>
        <v>1332</v>
      </c>
      <c r="AS505" s="182">
        <f>IF(BB491&gt;0,BB491,E71)</f>
        <v>1495</v>
      </c>
    </row>
    <row r="506" spans="39:45" ht="18" customHeight="1">
      <c r="AM506" s="2">
        <v>6</v>
      </c>
      <c r="AN506" s="99" t="s">
        <v>1013</v>
      </c>
      <c r="AO506" s="143"/>
      <c r="AP506" s="143"/>
      <c r="AQ506" s="143"/>
      <c r="AR506" s="6"/>
      <c r="AS506" s="6"/>
    </row>
    <row r="507" spans="39:45" ht="18" customHeight="1">
      <c r="AM507" s="26"/>
      <c r="AN507" s="144" t="s">
        <v>1017</v>
      </c>
      <c r="AO507" s="10"/>
      <c r="AP507" s="10"/>
      <c r="AQ507" s="10"/>
      <c r="AR507" s="182">
        <f>IF(BD463&gt;0,BD463,(D156+E156)/2)</f>
        <v>465</v>
      </c>
      <c r="AS507" s="182">
        <f>IF(BD491&gt;0,BD491,E156)</f>
        <v>523</v>
      </c>
    </row>
    <row r="508" spans="39:58" ht="18" customHeight="1">
      <c r="AM508" s="25">
        <v>7</v>
      </c>
      <c r="AN508" s="98" t="s">
        <v>952</v>
      </c>
      <c r="AO508" s="147"/>
      <c r="AP508" s="147"/>
      <c r="AQ508" s="148"/>
      <c r="AR508" s="182">
        <f>D98-(D141+D164)</f>
        <v>14884</v>
      </c>
      <c r="AS508" s="182">
        <f>E98-(E141+E164)</f>
        <v>14855</v>
      </c>
      <c r="BF508" s="600" t="str">
        <f>+' -'!$E$21</f>
        <v>Програмата за финансов анализ е лицензирана на:</v>
      </c>
    </row>
    <row r="509" spans="39:58" ht="18" customHeight="1">
      <c r="AM509" s="136">
        <v>8</v>
      </c>
      <c r="AN509" s="145" t="s">
        <v>1015</v>
      </c>
      <c r="AO509" s="146"/>
      <c r="AP509" s="146"/>
      <c r="AQ509" s="146"/>
      <c r="AR509" s="149">
        <f>MONTH($A$4)*30</f>
        <v>360</v>
      </c>
      <c r="AS509" s="149">
        <f>MONTH($A$4)*30</f>
        <v>360</v>
      </c>
      <c r="BF509" s="601"/>
    </row>
    <row r="510" spans="40:58" ht="18" customHeight="1">
      <c r="AN510" s="73"/>
      <c r="BF510" s="600" t="str">
        <f>+' -'!$E$22</f>
        <v>"В И Н З А В О Д"  А Д - гр. АСЕНОВГРАД</v>
      </c>
    </row>
    <row r="511" ht="18" customHeight="1" thickBot="1"/>
    <row r="512" spans="39:47" ht="24.75" customHeight="1">
      <c r="AM512" s="402"/>
      <c r="AN512" s="392"/>
      <c r="AO512" s="392"/>
      <c r="AP512" s="392"/>
      <c r="AQ512" s="392"/>
      <c r="AR512" s="392"/>
      <c r="AS512" s="392"/>
      <c r="AT512" s="392"/>
      <c r="AU512" s="1457" t="s">
        <v>645</v>
      </c>
    </row>
    <row r="513" spans="39:47" ht="32.25" customHeight="1">
      <c r="AM513" s="1408" t="s">
        <v>308</v>
      </c>
      <c r="AN513" s="1195"/>
      <c r="AO513" s="1195"/>
      <c r="AP513" s="1195"/>
      <c r="AQ513" s="1195"/>
      <c r="AR513" s="1195"/>
      <c r="AS513" s="1195"/>
      <c r="AT513" s="1195"/>
      <c r="AU513" s="1196"/>
    </row>
    <row r="514" spans="39:47" ht="15" customHeight="1">
      <c r="AM514" s="81"/>
      <c r="AN514" s="70"/>
      <c r="AO514" s="70"/>
      <c r="AP514" s="70"/>
      <c r="AQ514" s="70"/>
      <c r="AR514" s="70"/>
      <c r="AS514" s="70"/>
      <c r="AT514" s="70"/>
      <c r="AU514" s="274">
        <f>+' -'!$B$11</f>
      </c>
    </row>
    <row r="515" spans="39:58" ht="39" customHeight="1">
      <c r="AM515" s="82" t="s">
        <v>1109</v>
      </c>
      <c r="AN515" s="83"/>
      <c r="AO515" s="83"/>
      <c r="AP515" s="83"/>
      <c r="AQ515" s="83"/>
      <c r="AR515" s="83"/>
      <c r="AS515" s="83"/>
      <c r="AT515" s="69"/>
      <c r="AU515" s="84"/>
      <c r="BF515" s="602" t="str">
        <f>+' -'!$E$21</f>
        <v>Програмата за финансов анализ е лицензирана на:</v>
      </c>
    </row>
    <row r="516" spans="39:47" ht="12" customHeight="1">
      <c r="AM516" s="85"/>
      <c r="AN516" s="73"/>
      <c r="AO516" s="73"/>
      <c r="AP516" s="73"/>
      <c r="AQ516" s="73"/>
      <c r="AR516" s="73"/>
      <c r="AS516" s="69"/>
      <c r="AT516" s="73"/>
      <c r="AU516" s="274">
        <f>+' -'!$C$12</f>
      </c>
    </row>
    <row r="517" spans="39:59" ht="27" customHeight="1">
      <c r="AM517" s="86" t="s">
        <v>2297</v>
      </c>
      <c r="AN517" s="69"/>
      <c r="AO517" s="69"/>
      <c r="AP517" s="69"/>
      <c r="AQ517" s="69"/>
      <c r="AR517" s="69"/>
      <c r="AS517" s="69"/>
      <c r="AT517" s="69"/>
      <c r="AU517" s="84"/>
      <c r="BF517" s="1544" t="str">
        <f>+' -'!$E$22</f>
        <v>"В И Н З А В О Д"  А Д - гр. АСЕНОВГРАД</v>
      </c>
      <c r="BG517" s="1544"/>
    </row>
    <row r="518" spans="39:47" ht="2.25" customHeight="1">
      <c r="AM518" s="85"/>
      <c r="AN518" s="69"/>
      <c r="AO518" s="69"/>
      <c r="AP518" s="69"/>
      <c r="AQ518" s="69"/>
      <c r="AR518" s="69"/>
      <c r="AS518" s="69"/>
      <c r="AT518" s="69"/>
      <c r="AU518" s="84"/>
    </row>
    <row r="519" spans="39:47" ht="3.75" customHeight="1">
      <c r="AM519" s="85"/>
      <c r="AN519" s="73"/>
      <c r="AO519" s="73"/>
      <c r="AP519" s="73"/>
      <c r="AQ519" s="73"/>
      <c r="AR519" s="73"/>
      <c r="AS519" s="73"/>
      <c r="AT519" s="73"/>
      <c r="AU519" s="84"/>
    </row>
    <row r="520" spans="39:58" ht="18" customHeight="1">
      <c r="AM520" s="85"/>
      <c r="AN520" s="73"/>
      <c r="AO520" s="73"/>
      <c r="AP520" s="73"/>
      <c r="AQ520" s="73"/>
      <c r="AR520" s="73"/>
      <c r="AS520" s="73"/>
      <c r="AT520" s="73"/>
      <c r="AU520" s="87"/>
      <c r="BF520" s="1388" t="s">
        <v>1863</v>
      </c>
    </row>
    <row r="521" spans="39:58" ht="18" customHeight="1">
      <c r="AM521" s="88">
        <f>+$A$4</f>
        <v>39813</v>
      </c>
      <c r="AN521" s="69"/>
      <c r="AO521" s="69"/>
      <c r="AP521" s="69"/>
      <c r="AQ521" s="69"/>
      <c r="AR521" s="69"/>
      <c r="AS521" s="69"/>
      <c r="AT521" s="69"/>
      <c r="AU521" s="84"/>
      <c r="BF521" s="1389" t="s">
        <v>1864</v>
      </c>
    </row>
    <row r="522" spans="39:58" ht="18">
      <c r="AM522" s="85"/>
      <c r="AN522" s="73"/>
      <c r="AO522" s="73"/>
      <c r="AP522" s="73"/>
      <c r="AQ522" s="73"/>
      <c r="AR522" s="73"/>
      <c r="AS522" s="73"/>
      <c r="AT522" s="73"/>
      <c r="AU522" s="87"/>
      <c r="BF522" s="1390">
        <f>+' -'!A7</f>
        <v>40981</v>
      </c>
    </row>
    <row r="523" spans="39:47" ht="15.75" customHeight="1">
      <c r="AM523" s="85"/>
      <c r="AN523" s="73"/>
      <c r="AO523" s="73"/>
      <c r="AP523" s="73"/>
      <c r="AQ523" s="73"/>
      <c r="AR523" s="73"/>
      <c r="AS523" s="73"/>
      <c r="AT523" s="73"/>
      <c r="AU523" s="87"/>
    </row>
    <row r="524" spans="39:47" ht="12.75" customHeight="1">
      <c r="AM524" s="85"/>
      <c r="AN524" s="73"/>
      <c r="AO524" s="73"/>
      <c r="AP524" s="73"/>
      <c r="AQ524" s="73"/>
      <c r="AR524" s="73"/>
      <c r="AS524" s="73"/>
      <c r="AT524" s="73"/>
      <c r="AU524" s="87"/>
    </row>
    <row r="525" spans="39:47" ht="18" customHeight="1">
      <c r="AM525" s="89" t="s">
        <v>2298</v>
      </c>
      <c r="AN525" s="69"/>
      <c r="AO525" s="69"/>
      <c r="AP525" s="69"/>
      <c r="AQ525" s="69"/>
      <c r="AR525" s="69"/>
      <c r="AS525" s="69"/>
      <c r="AT525" s="69"/>
      <c r="AU525" s="84"/>
    </row>
    <row r="526" spans="39:47" ht="5.25" customHeight="1">
      <c r="AM526" s="90"/>
      <c r="AN526" s="69"/>
      <c r="AO526" s="69"/>
      <c r="AP526" s="69"/>
      <c r="AQ526" s="69"/>
      <c r="AR526" s="69"/>
      <c r="AS526" s="69"/>
      <c r="AT526" s="69"/>
      <c r="AU526" s="84"/>
    </row>
    <row r="527" spans="39:47" ht="17.25" customHeight="1">
      <c r="AM527" s="329"/>
      <c r="AN527" s="330"/>
      <c r="AO527" s="330"/>
      <c r="AP527" s="330"/>
      <c r="AQ527" s="330"/>
      <c r="AR527" s="330"/>
      <c r="AS527" s="330"/>
      <c r="AT527" s="330"/>
      <c r="AU527" s="331" t="s">
        <v>2299</v>
      </c>
    </row>
    <row r="528" spans="39:47" ht="20.25" customHeight="1">
      <c r="AM528" s="332">
        <v>1</v>
      </c>
      <c r="AN528" s="333" t="s">
        <v>2300</v>
      </c>
      <c r="AO528" s="333"/>
      <c r="AP528" s="333"/>
      <c r="AQ528" s="333"/>
      <c r="AR528" s="333"/>
      <c r="AS528" s="333"/>
      <c r="AT528" s="333"/>
      <c r="AU528" s="334">
        <v>2</v>
      </c>
    </row>
    <row r="529" spans="39:47" ht="20.25" customHeight="1">
      <c r="AM529" s="332">
        <v>2</v>
      </c>
      <c r="AN529" s="333" t="s">
        <v>2301</v>
      </c>
      <c r="AO529" s="333"/>
      <c r="AP529" s="333"/>
      <c r="AQ529" s="333"/>
      <c r="AR529" s="333"/>
      <c r="AS529" s="333"/>
      <c r="AT529" s="333"/>
      <c r="AU529" s="334">
        <v>4</v>
      </c>
    </row>
    <row r="530" spans="39:47" ht="20.25" customHeight="1">
      <c r="AM530" s="332">
        <v>3</v>
      </c>
      <c r="AN530" s="333" t="s">
        <v>2302</v>
      </c>
      <c r="AO530" s="333"/>
      <c r="AP530" s="333"/>
      <c r="AQ530" s="333"/>
      <c r="AR530" s="333"/>
      <c r="AS530" s="333"/>
      <c r="AT530" s="333"/>
      <c r="AU530" s="334">
        <v>5</v>
      </c>
    </row>
    <row r="531" spans="39:47" ht="20.25" customHeight="1">
      <c r="AM531" s="332">
        <v>4</v>
      </c>
      <c r="AN531" s="333" t="s">
        <v>2303</v>
      </c>
      <c r="AO531" s="333"/>
      <c r="AP531" s="333"/>
      <c r="AQ531" s="333"/>
      <c r="AR531" s="333"/>
      <c r="AS531" s="333"/>
      <c r="AT531" s="333"/>
      <c r="AU531" s="334">
        <v>6</v>
      </c>
    </row>
    <row r="532" spans="39:47" ht="20.25" customHeight="1">
      <c r="AM532" s="332">
        <v>5</v>
      </c>
      <c r="AN532" s="333" t="s">
        <v>2304</v>
      </c>
      <c r="AO532" s="333"/>
      <c r="AP532" s="333"/>
      <c r="AQ532" s="333"/>
      <c r="AR532" s="333"/>
      <c r="AS532" s="333"/>
      <c r="AT532" s="333"/>
      <c r="AU532" s="334">
        <v>8</v>
      </c>
    </row>
    <row r="533" spans="39:47" ht="20.25" customHeight="1">
      <c r="AM533" s="332">
        <v>6</v>
      </c>
      <c r="AN533" s="333" t="s">
        <v>2305</v>
      </c>
      <c r="AO533" s="333"/>
      <c r="AP533" s="333"/>
      <c r="AQ533" s="333"/>
      <c r="AR533" s="333"/>
      <c r="AS533" s="333"/>
      <c r="AT533" s="333"/>
      <c r="AU533" s="334">
        <v>10</v>
      </c>
    </row>
    <row r="534" spans="39:47" ht="20.25" customHeight="1">
      <c r="AM534" s="332">
        <v>7</v>
      </c>
      <c r="AN534" s="333" t="s">
        <v>528</v>
      </c>
      <c r="AO534" s="333"/>
      <c r="AP534" s="333"/>
      <c r="AQ534" s="333"/>
      <c r="AR534" s="333"/>
      <c r="AS534" s="333"/>
      <c r="AT534" s="333"/>
      <c r="AU534" s="334">
        <v>10</v>
      </c>
    </row>
    <row r="535" spans="39:47" ht="20.25" customHeight="1">
      <c r="AM535" s="332">
        <v>8</v>
      </c>
      <c r="AN535" s="333" t="s">
        <v>529</v>
      </c>
      <c r="AO535" s="333"/>
      <c r="AP535" s="333"/>
      <c r="AQ535" s="333"/>
      <c r="AR535" s="333"/>
      <c r="AS535" s="333"/>
      <c r="AT535" s="333"/>
      <c r="AU535" s="334">
        <v>10</v>
      </c>
    </row>
    <row r="536" spans="39:47" ht="20.25" customHeight="1">
      <c r="AM536" s="332">
        <v>9</v>
      </c>
      <c r="AN536" s="333" t="s">
        <v>133</v>
      </c>
      <c r="AO536" s="333"/>
      <c r="AP536" s="333"/>
      <c r="AQ536" s="333"/>
      <c r="AR536" s="333"/>
      <c r="AS536" s="333"/>
      <c r="AT536" s="333"/>
      <c r="AU536" s="334">
        <v>11</v>
      </c>
    </row>
    <row r="537" spans="39:47" ht="20.25" customHeight="1">
      <c r="AM537" s="332">
        <v>10</v>
      </c>
      <c r="AN537" s="333" t="s">
        <v>530</v>
      </c>
      <c r="AO537" s="333"/>
      <c r="AP537" s="333"/>
      <c r="AQ537" s="333"/>
      <c r="AR537" s="333"/>
      <c r="AS537" s="333"/>
      <c r="AT537" s="333"/>
      <c r="AU537" s="334">
        <v>12</v>
      </c>
    </row>
    <row r="538" spans="39:47" ht="20.25" customHeight="1">
      <c r="AM538" s="332">
        <v>11</v>
      </c>
      <c r="AN538" s="333" t="s">
        <v>1483</v>
      </c>
      <c r="AO538" s="333"/>
      <c r="AP538" s="333"/>
      <c r="AQ538" s="333"/>
      <c r="AR538" s="333"/>
      <c r="AS538" s="333"/>
      <c r="AT538" s="333"/>
      <c r="AU538" s="334">
        <v>12</v>
      </c>
    </row>
    <row r="539" spans="39:47" ht="20.25" customHeight="1">
      <c r="AM539" s="332">
        <v>12</v>
      </c>
      <c r="AN539" s="333" t="s">
        <v>531</v>
      </c>
      <c r="AO539" s="333"/>
      <c r="AP539" s="333"/>
      <c r="AQ539" s="333"/>
      <c r="AR539" s="333"/>
      <c r="AS539" s="333"/>
      <c r="AT539" s="333"/>
      <c r="AU539" s="334">
        <v>12</v>
      </c>
    </row>
    <row r="540" spans="39:47" ht="20.25" customHeight="1">
      <c r="AM540" s="332">
        <v>13</v>
      </c>
      <c r="AN540" s="333" t="s">
        <v>532</v>
      </c>
      <c r="AO540" s="333"/>
      <c r="AP540" s="333"/>
      <c r="AQ540" s="333"/>
      <c r="AR540" s="333"/>
      <c r="AS540" s="333"/>
      <c r="AT540" s="333"/>
      <c r="AU540" s="334">
        <v>13</v>
      </c>
    </row>
    <row r="541" spans="39:47" ht="20.25" customHeight="1">
      <c r="AM541" s="332">
        <v>14</v>
      </c>
      <c r="AN541" s="333" t="s">
        <v>1485</v>
      </c>
      <c r="AO541" s="333"/>
      <c r="AP541" s="333"/>
      <c r="AQ541" s="333"/>
      <c r="AR541" s="333"/>
      <c r="AS541" s="333"/>
      <c r="AT541" s="333"/>
      <c r="AU541" s="334">
        <v>15</v>
      </c>
    </row>
    <row r="542" spans="39:47" ht="20.25" customHeight="1">
      <c r="AM542" s="332">
        <v>15</v>
      </c>
      <c r="AN542" s="333" t="s">
        <v>792</v>
      </c>
      <c r="AO542" s="333"/>
      <c r="AP542" s="333"/>
      <c r="AQ542" s="333"/>
      <c r="AR542" s="333"/>
      <c r="AS542" s="333"/>
      <c r="AT542" s="333"/>
      <c r="AU542" s="334">
        <v>17</v>
      </c>
    </row>
    <row r="543" spans="39:47" ht="20.25" customHeight="1">
      <c r="AM543" s="332">
        <v>16</v>
      </c>
      <c r="AN543" s="335" t="s">
        <v>1753</v>
      </c>
      <c r="AO543" s="333"/>
      <c r="AP543" s="333"/>
      <c r="AQ543" s="333"/>
      <c r="AR543" s="333"/>
      <c r="AS543" s="333"/>
      <c r="AT543" s="333"/>
      <c r="AU543" s="334">
        <v>19</v>
      </c>
    </row>
    <row r="544" spans="39:47" ht="20.25" customHeight="1">
      <c r="AM544" s="332">
        <v>17</v>
      </c>
      <c r="AN544" s="335" t="s">
        <v>533</v>
      </c>
      <c r="AO544" s="333"/>
      <c r="AP544" s="333"/>
      <c r="AQ544" s="333"/>
      <c r="AR544" s="333"/>
      <c r="AS544" s="333"/>
      <c r="AT544" s="333"/>
      <c r="AU544" s="334">
        <v>22</v>
      </c>
    </row>
    <row r="545" spans="39:47" ht="20.25" customHeight="1">
      <c r="AM545" s="332">
        <v>18</v>
      </c>
      <c r="AN545" s="335" t="s">
        <v>534</v>
      </c>
      <c r="AO545" s="333"/>
      <c r="AP545" s="333"/>
      <c r="AQ545" s="333"/>
      <c r="AR545" s="333"/>
      <c r="AS545" s="333"/>
      <c r="AT545" s="333"/>
      <c r="AU545" s="334">
        <v>23</v>
      </c>
    </row>
    <row r="546" spans="39:47" ht="20.25" customHeight="1">
      <c r="AM546" s="332">
        <v>19</v>
      </c>
      <c r="AN546" s="333" t="s">
        <v>535</v>
      </c>
      <c r="AO546" s="333"/>
      <c r="AP546" s="333"/>
      <c r="AQ546" s="333"/>
      <c r="AR546" s="333"/>
      <c r="AS546" s="333"/>
      <c r="AT546" s="333"/>
      <c r="AU546" s="334">
        <v>24</v>
      </c>
    </row>
    <row r="547" spans="39:47" ht="20.25" customHeight="1">
      <c r="AM547" s="332">
        <v>20</v>
      </c>
      <c r="AN547" s="333" t="s">
        <v>1267</v>
      </c>
      <c r="AO547" s="333"/>
      <c r="AP547" s="333"/>
      <c r="AQ547" s="333"/>
      <c r="AR547" s="333"/>
      <c r="AS547" s="333"/>
      <c r="AT547" s="333"/>
      <c r="AU547" s="334">
        <v>30</v>
      </c>
    </row>
    <row r="548" spans="39:47" ht="20.25" customHeight="1">
      <c r="AM548" s="332">
        <v>20</v>
      </c>
      <c r="AN548" s="333" t="s">
        <v>1633</v>
      </c>
      <c r="AO548" s="333"/>
      <c r="AP548" s="333"/>
      <c r="AQ548" s="333"/>
      <c r="AR548" s="333"/>
      <c r="AS548" s="333"/>
      <c r="AT548" s="333"/>
      <c r="AU548" s="334">
        <v>31</v>
      </c>
    </row>
    <row r="549" spans="39:47" ht="17.25" customHeight="1" hidden="1">
      <c r="AM549" s="332">
        <v>22</v>
      </c>
      <c r="AN549" s="336" t="s">
        <v>536</v>
      </c>
      <c r="AO549" s="336"/>
      <c r="AP549" s="336"/>
      <c r="AQ549" s="336"/>
      <c r="AR549" s="336"/>
      <c r="AS549" s="336"/>
      <c r="AT549" s="333"/>
      <c r="AU549" s="337" t="s">
        <v>134</v>
      </c>
    </row>
    <row r="550" spans="39:47" ht="17.25" customHeight="1" hidden="1">
      <c r="AM550" s="332">
        <v>23</v>
      </c>
      <c r="AN550" s="333" t="s">
        <v>537</v>
      </c>
      <c r="AO550" s="333"/>
      <c r="AP550" s="333"/>
      <c r="AQ550" s="333"/>
      <c r="AR550" s="333"/>
      <c r="AS550" s="333"/>
      <c r="AT550" s="333"/>
      <c r="AU550" s="337" t="s">
        <v>135</v>
      </c>
    </row>
    <row r="551" spans="39:47" ht="17.25" customHeight="1" hidden="1">
      <c r="AM551" s="332">
        <v>24</v>
      </c>
      <c r="AN551" s="333" t="s">
        <v>1445</v>
      </c>
      <c r="AO551" s="333"/>
      <c r="AP551" s="333"/>
      <c r="AQ551" s="333"/>
      <c r="AR551" s="333"/>
      <c r="AS551" s="333"/>
      <c r="AT551" s="333"/>
      <c r="AU551" s="334" t="s">
        <v>136</v>
      </c>
    </row>
    <row r="552" spans="39:47" ht="17.25" customHeight="1" hidden="1">
      <c r="AM552" s="332">
        <v>25</v>
      </c>
      <c r="AN552" s="333" t="s">
        <v>538</v>
      </c>
      <c r="AO552" s="333"/>
      <c r="AP552" s="333"/>
      <c r="AQ552" s="333"/>
      <c r="AR552" s="333"/>
      <c r="AS552" s="333"/>
      <c r="AT552" s="333"/>
      <c r="AU552" s="334" t="s">
        <v>137</v>
      </c>
    </row>
    <row r="553" spans="39:47" ht="30" customHeight="1" thickBot="1">
      <c r="AM553" s="398" t="s">
        <v>722</v>
      </c>
      <c r="AN553" s="338"/>
      <c r="AO553" s="338"/>
      <c r="AP553" s="338"/>
      <c r="AQ553" s="338"/>
      <c r="AR553" s="338"/>
      <c r="AS553" s="338"/>
      <c r="AT553" s="338"/>
      <c r="AU553" s="339"/>
    </row>
    <row r="554" spans="59:60" ht="18" customHeight="1">
      <c r="BG554" s="578"/>
      <c r="BH554" s="578"/>
    </row>
    <row r="555" spans="39:60" ht="16.5" customHeight="1">
      <c r="AM555" s="668"/>
      <c r="AN555" s="716"/>
      <c r="AO555" s="716"/>
      <c r="AP555" s="716"/>
      <c r="AQ555" s="716"/>
      <c r="AR555" s="716"/>
      <c r="AS555" s="716"/>
      <c r="AT555" s="716"/>
      <c r="AU555" s="716"/>
      <c r="AV555" s="18"/>
      <c r="AW555" s="203"/>
      <c r="AX555" s="203"/>
      <c r="AY555" s="203"/>
      <c r="AZ555" s="203"/>
      <c r="BA555" s="203"/>
      <c r="BB555" s="203"/>
      <c r="BC555" s="203"/>
      <c r="BD555" s="203"/>
      <c r="BE555" s="243"/>
      <c r="BF555" s="600" t="str">
        <f>+' -'!$E$21</f>
        <v>Програмата за финансов анализ е лицензирана на:</v>
      </c>
      <c r="BG555" s="10"/>
      <c r="BH555" s="10"/>
    </row>
    <row r="556" spans="39:60" ht="24.75" customHeight="1">
      <c r="AM556" s="716" t="str">
        <f>+AM513</f>
        <v>"В И Н З А В О Д"  А Д - гр. АСЕНОВГРАД</v>
      </c>
      <c r="AN556" s="716"/>
      <c r="AO556" s="716"/>
      <c r="AP556" s="716"/>
      <c r="AQ556" s="716"/>
      <c r="AR556" s="716"/>
      <c r="AS556" s="716"/>
      <c r="AT556" s="716"/>
      <c r="AU556" s="716"/>
      <c r="AV556" s="18"/>
      <c r="AW556" s="18"/>
      <c r="AX556" s="18"/>
      <c r="AY556" s="18"/>
      <c r="AZ556" s="18"/>
      <c r="BA556" s="18"/>
      <c r="BB556" s="18"/>
      <c r="BC556" s="18"/>
      <c r="BD556" s="18"/>
      <c r="BF556" s="600" t="str">
        <f>+' -'!$E$22</f>
        <v>"В И Н З А В О Д"  А Д - гр. АСЕНОВГРАД</v>
      </c>
      <c r="BG556" s="22"/>
      <c r="BH556" s="22"/>
    </row>
    <row r="557" spans="39:56" ht="11.25" customHeight="1">
      <c r="AM557" s="716"/>
      <c r="AN557" s="716"/>
      <c r="AO557" s="716"/>
      <c r="AP557" s="716"/>
      <c r="AQ557" s="716"/>
      <c r="AR557" s="716"/>
      <c r="AS557" s="716"/>
      <c r="AT557" s="57"/>
      <c r="AU557" s="716"/>
      <c r="AV557" s="62">
        <f>+' -'!$B$11</f>
      </c>
      <c r="AW557" s="18"/>
      <c r="AX557" s="18"/>
      <c r="AY557" s="18"/>
      <c r="AZ557" s="18"/>
      <c r="BA557" s="18"/>
      <c r="BB557" s="18"/>
      <c r="BC557" s="18"/>
      <c r="BD557" s="18"/>
    </row>
    <row r="558" spans="39:56" ht="16.5" customHeight="1">
      <c r="AM558" s="759" t="s">
        <v>1109</v>
      </c>
      <c r="AN558" s="760"/>
      <c r="AO558" s="760"/>
      <c r="AP558" s="760"/>
      <c r="AQ558" s="760"/>
      <c r="AR558" s="761"/>
      <c r="AS558" s="761"/>
      <c r="AT558" s="760"/>
      <c r="AU558" s="760"/>
      <c r="AV558" s="18"/>
      <c r="AW558" s="18"/>
      <c r="AX558" s="18"/>
      <c r="AY558" s="18"/>
      <c r="AZ558" s="18"/>
      <c r="BA558" s="18"/>
      <c r="BB558" s="18"/>
      <c r="BC558" s="18"/>
      <c r="BD558" s="18"/>
    </row>
    <row r="559" spans="39:56" ht="6" customHeight="1">
      <c r="AM559" s="760"/>
      <c r="AN559" s="760"/>
      <c r="AO559" s="760"/>
      <c r="AP559" s="760"/>
      <c r="AQ559" s="760"/>
      <c r="AR559" s="761"/>
      <c r="AS559" s="761"/>
      <c r="AT559" s="760"/>
      <c r="AU559" s="760"/>
      <c r="AV559" s="62">
        <f>+' -'!$C$12</f>
      </c>
      <c r="AW559" s="18"/>
      <c r="AX559" s="18"/>
      <c r="AY559" s="18"/>
      <c r="AZ559" s="18"/>
      <c r="BA559" s="18"/>
      <c r="BB559" s="18"/>
      <c r="BC559" s="18"/>
      <c r="BD559" s="18"/>
    </row>
    <row r="560" spans="39:56" ht="16.5" customHeight="1">
      <c r="AM560" s="762" t="s">
        <v>1608</v>
      </c>
      <c r="AN560" s="760"/>
      <c r="AO560" s="760"/>
      <c r="AP560" s="760"/>
      <c r="AQ560" s="760"/>
      <c r="AR560" s="763"/>
      <c r="AS560" s="763"/>
      <c r="AT560" s="760"/>
      <c r="AU560" s="760"/>
      <c r="AV560" s="18"/>
      <c r="AW560" s="18"/>
      <c r="AX560" s="18"/>
      <c r="AY560" s="18"/>
      <c r="AZ560" s="18"/>
      <c r="BA560" s="18"/>
      <c r="BB560" s="18"/>
      <c r="BC560" s="18"/>
      <c r="BD560" s="18"/>
    </row>
    <row r="561" spans="39:56" ht="16.5" customHeight="1">
      <c r="AM561" s="764">
        <f>+A4</f>
        <v>39813</v>
      </c>
      <c r="AN561" s="760"/>
      <c r="AO561" s="760"/>
      <c r="AP561" s="760"/>
      <c r="AQ561" s="760"/>
      <c r="AR561" s="763"/>
      <c r="AS561" s="763"/>
      <c r="AT561" s="760"/>
      <c r="AU561" s="760"/>
      <c r="AV561" s="18"/>
      <c r="AW561" s="18"/>
      <c r="AX561" s="18"/>
      <c r="AY561" s="18"/>
      <c r="AZ561" s="18"/>
      <c r="BA561" s="18"/>
      <c r="BB561" s="18"/>
      <c r="BC561" s="18"/>
      <c r="BD561" s="18"/>
    </row>
    <row r="562" spans="39:56" ht="6.75" customHeight="1">
      <c r="AM562" s="762"/>
      <c r="AN562" s="760"/>
      <c r="AO562" s="760"/>
      <c r="AP562" s="760"/>
      <c r="AQ562" s="760"/>
      <c r="AR562" s="763"/>
      <c r="AS562" s="763"/>
      <c r="AT562" s="760"/>
      <c r="AU562" s="760"/>
      <c r="AV562" s="18"/>
      <c r="AW562" s="18"/>
      <c r="AX562" s="18"/>
      <c r="AY562" s="18"/>
      <c r="AZ562" s="18"/>
      <c r="BA562" s="18"/>
      <c r="BB562" s="18"/>
      <c r="BC562" s="18"/>
      <c r="BD562" s="18"/>
    </row>
    <row r="563" spans="39:56" ht="16.5" customHeight="1" thickBot="1">
      <c r="AM563" s="765" t="s">
        <v>1609</v>
      </c>
      <c r="AN563" s="766"/>
      <c r="AO563" s="766"/>
      <c r="AP563" s="766"/>
      <c r="AQ563" s="766"/>
      <c r="AR563" s="766"/>
      <c r="AS563" s="766"/>
      <c r="AT563" s="767"/>
      <c r="AU563" s="768" t="s">
        <v>1610</v>
      </c>
      <c r="AV563" s="18"/>
      <c r="AW563" s="18"/>
      <c r="AX563" s="18"/>
      <c r="AY563" s="18"/>
      <c r="AZ563" s="18"/>
      <c r="BA563" s="18"/>
      <c r="BB563" s="18"/>
      <c r="BC563" s="18"/>
      <c r="BD563" s="18"/>
    </row>
    <row r="564" spans="39:56" ht="16.5" customHeight="1">
      <c r="AM564" s="769"/>
      <c r="AN564" s="770"/>
      <c r="AO564" s="771"/>
      <c r="AP564" s="771"/>
      <c r="AQ564" s="771"/>
      <c r="AR564" s="772" t="str">
        <f>$D$7</f>
        <v>Текуща</v>
      </c>
      <c r="AS564" s="773" t="str">
        <f>$E$7</f>
        <v>Предходна</v>
      </c>
      <c r="AT564" s="774" t="s">
        <v>1611</v>
      </c>
      <c r="AU564" s="775"/>
      <c r="AV564" s="18"/>
      <c r="AW564" s="18"/>
      <c r="AX564" s="18"/>
      <c r="AY564" s="18"/>
      <c r="AZ564" s="18"/>
      <c r="BA564" s="18"/>
      <c r="BB564" s="18"/>
      <c r="BC564" s="18"/>
      <c r="BD564" s="18"/>
    </row>
    <row r="565" spans="39:56" ht="16.5" customHeight="1">
      <c r="AM565" s="776" t="s">
        <v>1612</v>
      </c>
      <c r="AN565" s="777" t="s">
        <v>1613</v>
      </c>
      <c r="AO565" s="778"/>
      <c r="AP565" s="778"/>
      <c r="AQ565" s="778"/>
      <c r="AR565" s="779" t="str">
        <f>$D$8</f>
        <v>година</v>
      </c>
      <c r="AS565" s="779" t="str">
        <f>$E$8</f>
        <v>година</v>
      </c>
      <c r="AT565" s="780"/>
      <c r="AU565" s="781"/>
      <c r="AV565" s="18"/>
      <c r="AW565" s="18"/>
      <c r="AX565" s="18"/>
      <c r="AY565" s="18"/>
      <c r="AZ565" s="18"/>
      <c r="BA565" s="18"/>
      <c r="BB565" s="18"/>
      <c r="BC565" s="18"/>
      <c r="BD565" s="18"/>
    </row>
    <row r="566" spans="39:56" ht="16.5" customHeight="1" thickBot="1">
      <c r="AM566" s="782"/>
      <c r="AN566" s="783"/>
      <c r="AO566" s="784"/>
      <c r="AP566" s="784"/>
      <c r="AQ566" s="784"/>
      <c r="AR566" s="785" t="s">
        <v>1614</v>
      </c>
      <c r="AS566" s="785" t="s">
        <v>1614</v>
      </c>
      <c r="AT566" s="786" t="s">
        <v>1614</v>
      </c>
      <c r="AU566" s="787" t="s">
        <v>1615</v>
      </c>
      <c r="AV566" s="18"/>
      <c r="AW566" s="18"/>
      <c r="AX566" s="18"/>
      <c r="AY566" s="18"/>
      <c r="AZ566" s="18"/>
      <c r="BA566" s="18"/>
      <c r="BB566" s="18"/>
      <c r="BC566" s="18"/>
      <c r="BD566" s="18"/>
    </row>
    <row r="567" spans="39:56" ht="16.5" customHeight="1">
      <c r="AM567" s="788" t="s">
        <v>1616</v>
      </c>
      <c r="AN567" s="789" t="s">
        <v>555</v>
      </c>
      <c r="AO567" s="789"/>
      <c r="AP567" s="789"/>
      <c r="AQ567" s="789"/>
      <c r="AR567" s="93">
        <f>D114</f>
        <v>10017</v>
      </c>
      <c r="AS567" s="93">
        <f>E114</f>
        <v>10017</v>
      </c>
      <c r="AT567" s="94">
        <f aca="true" t="shared" si="5" ref="AT567:AT580">AR567-AS567</f>
        <v>0</v>
      </c>
      <c r="AU567" s="95">
        <f aca="true" t="shared" si="6" ref="AU567:AU580">IF(AND(AS567=0,AR567=0),0,IF(AS567&lt;&gt;0,AT567/ABS(AS567),IF(AS567=0,AT567/ABS(AR567),FLASE)))</f>
        <v>0</v>
      </c>
      <c r="AV567" s="18"/>
      <c r="AW567" s="18"/>
      <c r="AX567" s="18"/>
      <c r="AY567" s="18"/>
      <c r="AZ567" s="18"/>
      <c r="BA567" s="18"/>
      <c r="BB567" s="18"/>
      <c r="BC567" s="18"/>
      <c r="BD567" s="18"/>
    </row>
    <row r="568" spans="39:56" ht="16.5" customHeight="1">
      <c r="AM568" s="788">
        <v>2</v>
      </c>
      <c r="AN568" s="789" t="s">
        <v>1617</v>
      </c>
      <c r="AO568" s="789"/>
      <c r="AP568" s="789"/>
      <c r="AQ568" s="789"/>
      <c r="AR568" s="93">
        <f>D122</f>
        <v>3720</v>
      </c>
      <c r="AS568" s="93">
        <f>E122</f>
        <v>3310</v>
      </c>
      <c r="AT568" s="94">
        <f t="shared" si="5"/>
        <v>410</v>
      </c>
      <c r="AU568" s="95">
        <f t="shared" si="6"/>
        <v>0.12386706948640483</v>
      </c>
      <c r="AV568" s="18"/>
      <c r="AW568" s="18"/>
      <c r="AX568" s="18"/>
      <c r="AY568" s="18"/>
      <c r="AZ568" s="18"/>
      <c r="BA568" s="18"/>
      <c r="BB568" s="18"/>
      <c r="BC568" s="18"/>
      <c r="BD568" s="18"/>
    </row>
    <row r="569" spans="39:56" ht="16.5" customHeight="1">
      <c r="AM569" s="788">
        <v>3</v>
      </c>
      <c r="AN569" s="789" t="s">
        <v>1618</v>
      </c>
      <c r="AO569" s="789"/>
      <c r="AP569" s="789"/>
      <c r="AQ569" s="789"/>
      <c r="AR569" s="93">
        <f>D124</f>
        <v>0</v>
      </c>
      <c r="AS569" s="93">
        <f>E124</f>
        <v>0</v>
      </c>
      <c r="AT569" s="94">
        <f t="shared" si="5"/>
        <v>0</v>
      </c>
      <c r="AU569" s="95">
        <f t="shared" si="6"/>
        <v>0</v>
      </c>
      <c r="AV569" s="18"/>
      <c r="AW569" s="18"/>
      <c r="AX569" s="18"/>
      <c r="AY569" s="18"/>
      <c r="AZ569" s="18"/>
      <c r="BA569" s="18"/>
      <c r="BB569" s="18"/>
      <c r="BC569" s="18"/>
      <c r="BD569" s="18"/>
    </row>
    <row r="570" spans="39:58" ht="16.5" customHeight="1">
      <c r="AM570" s="788">
        <v>4</v>
      </c>
      <c r="AN570" s="790" t="s">
        <v>1619</v>
      </c>
      <c r="AO570" s="789"/>
      <c r="AP570" s="789"/>
      <c r="AQ570" s="789"/>
      <c r="AR570" s="93">
        <f>IF(' -'!$B$21=1,$D$128,' -'!$B$21)</f>
        <v>103</v>
      </c>
      <c r="AS570" s="93">
        <f>IF(' -'!$B$11="",$E$128,Анализ!$AR$575)</f>
        <v>425</v>
      </c>
      <c r="AT570" s="94">
        <f t="shared" si="5"/>
        <v>-322</v>
      </c>
      <c r="AU570" s="95">
        <f t="shared" si="6"/>
        <v>-0.7576470588235295</v>
      </c>
      <c r="AV570" s="130"/>
      <c r="AW570" s="18"/>
      <c r="AX570" s="18"/>
      <c r="AY570" s="18"/>
      <c r="AZ570" s="18"/>
      <c r="BA570" s="18"/>
      <c r="BB570" s="18"/>
      <c r="BC570" s="18"/>
      <c r="BD570" s="18"/>
      <c r="BF570" s="275" t="s">
        <v>1455</v>
      </c>
    </row>
    <row r="571" spans="39:56" ht="16.5" customHeight="1">
      <c r="AM571" s="788">
        <v>5</v>
      </c>
      <c r="AN571" s="790" t="s">
        <v>556</v>
      </c>
      <c r="AO571" s="789"/>
      <c r="AP571" s="789"/>
      <c r="AQ571" s="789"/>
      <c r="AR571" s="93">
        <f>SUM(AR567:AR570)</f>
        <v>13840</v>
      </c>
      <c r="AS571" s="93">
        <f>SUM(AS567:AS570)</f>
        <v>13752</v>
      </c>
      <c r="AT571" s="94">
        <f t="shared" si="5"/>
        <v>88</v>
      </c>
      <c r="AU571" s="95">
        <f t="shared" si="6"/>
        <v>0.006399069226294357</v>
      </c>
      <c r="AV571" s="18"/>
      <c r="AW571" s="18"/>
      <c r="AX571" s="18"/>
      <c r="AY571" s="18"/>
      <c r="AZ571" s="18"/>
      <c r="BA571" s="18"/>
      <c r="BB571" s="18"/>
      <c r="BC571" s="18"/>
      <c r="BD571" s="18"/>
    </row>
    <row r="572" spans="39:56" ht="16.5" customHeight="1">
      <c r="AM572" s="788">
        <v>6</v>
      </c>
      <c r="AN572" s="789" t="s">
        <v>26</v>
      </c>
      <c r="AO572" s="789"/>
      <c r="AP572" s="789"/>
      <c r="AQ572" s="789"/>
      <c r="AR572" s="93">
        <f>D58</f>
        <v>8680</v>
      </c>
      <c r="AS572" s="93">
        <f>E58</f>
        <v>6991</v>
      </c>
      <c r="AT572" s="96">
        <f t="shared" si="5"/>
        <v>1689</v>
      </c>
      <c r="AU572" s="95">
        <f t="shared" si="6"/>
        <v>0.24159633814904877</v>
      </c>
      <c r="AV572" s="18"/>
      <c r="AW572" s="18"/>
      <c r="AX572" s="18"/>
      <c r="AY572" s="18"/>
      <c r="AZ572" s="18"/>
      <c r="BA572" s="18"/>
      <c r="BB572" s="18"/>
      <c r="BC572" s="18"/>
      <c r="BD572" s="18"/>
    </row>
    <row r="573" spans="39:56" ht="16.5" customHeight="1">
      <c r="AM573" s="788">
        <v>7</v>
      </c>
      <c r="AN573" s="789" t="s">
        <v>27</v>
      </c>
      <c r="AO573" s="789"/>
      <c r="AP573" s="789"/>
      <c r="AQ573" s="789"/>
      <c r="AR573" s="93">
        <f>D144</f>
        <v>5845</v>
      </c>
      <c r="AS573" s="93">
        <f>E144</f>
        <v>3478</v>
      </c>
      <c r="AT573" s="96">
        <f t="shared" si="5"/>
        <v>2367</v>
      </c>
      <c r="AU573" s="95">
        <f t="shared" si="6"/>
        <v>0.68056354226567</v>
      </c>
      <c r="AV573" s="18"/>
      <c r="AW573" s="18"/>
      <c r="AX573" s="18"/>
      <c r="AY573" s="18"/>
      <c r="AZ573" s="18"/>
      <c r="BA573" s="18"/>
      <c r="BB573" s="18"/>
      <c r="BC573" s="18"/>
      <c r="BD573" s="18"/>
    </row>
    <row r="574" spans="39:56" ht="16.5" customHeight="1">
      <c r="AM574" s="788">
        <v>8</v>
      </c>
      <c r="AN574" s="789" t="s">
        <v>571</v>
      </c>
      <c r="AO574" s="789"/>
      <c r="AP574" s="789"/>
      <c r="AQ574" s="789"/>
      <c r="AR574" s="93">
        <f>D114</f>
        <v>10017</v>
      </c>
      <c r="AS574" s="93">
        <f>E114</f>
        <v>10017</v>
      </c>
      <c r="AT574" s="96">
        <f t="shared" si="5"/>
        <v>0</v>
      </c>
      <c r="AU574" s="95">
        <f t="shared" si="6"/>
        <v>0</v>
      </c>
      <c r="AV574" s="391"/>
      <c r="AW574" s="18"/>
      <c r="AX574" s="18"/>
      <c r="AY574" s="18"/>
      <c r="AZ574" s="18"/>
      <c r="BA574" s="18"/>
      <c r="BB574" s="18"/>
      <c r="BC574" s="18"/>
      <c r="BD574" s="18"/>
    </row>
    <row r="575" spans="39:56" ht="16.5" customHeight="1">
      <c r="AM575" s="788">
        <v>9</v>
      </c>
      <c r="AN575" s="789" t="s">
        <v>28</v>
      </c>
      <c r="AO575" s="789"/>
      <c r="AP575" s="789"/>
      <c r="AQ575" s="789"/>
      <c r="AR575" s="93">
        <f>D97</f>
        <v>12809</v>
      </c>
      <c r="AS575" s="93">
        <f>E97</f>
        <v>12326</v>
      </c>
      <c r="AT575" s="96">
        <f t="shared" si="5"/>
        <v>483</v>
      </c>
      <c r="AU575" s="95">
        <f t="shared" si="6"/>
        <v>0.03918546162583158</v>
      </c>
      <c r="AV575" s="18"/>
      <c r="AW575" s="18"/>
      <c r="AX575" s="18"/>
      <c r="AY575" s="18"/>
      <c r="AZ575" s="18"/>
      <c r="BA575" s="18"/>
      <c r="BB575" s="18"/>
      <c r="BC575" s="18"/>
      <c r="BD575" s="18"/>
    </row>
    <row r="576" spans="39:56" ht="16.5" customHeight="1">
      <c r="AM576" s="788">
        <v>10</v>
      </c>
      <c r="AN576" s="789" t="s">
        <v>29</v>
      </c>
      <c r="AO576" s="789"/>
      <c r="AP576" s="789"/>
      <c r="AQ576" s="789"/>
      <c r="AR576" s="93">
        <f>D164</f>
        <v>760</v>
      </c>
      <c r="AS576" s="93">
        <f>E164</f>
        <v>984</v>
      </c>
      <c r="AT576" s="96">
        <f t="shared" si="5"/>
        <v>-224</v>
      </c>
      <c r="AU576" s="95">
        <f t="shared" si="6"/>
        <v>-0.22764227642276422</v>
      </c>
      <c r="AV576" s="18"/>
      <c r="AW576" s="18"/>
      <c r="AX576" s="18"/>
      <c r="AY576" s="18"/>
      <c r="AZ576" s="18"/>
      <c r="BA576" s="18"/>
      <c r="BB576" s="18"/>
      <c r="BC576" s="18"/>
      <c r="BD576" s="18"/>
    </row>
    <row r="577" spans="39:56" ht="16.5" customHeight="1">
      <c r="AM577" s="788">
        <v>11</v>
      </c>
      <c r="AN577" s="789" t="s">
        <v>1263</v>
      </c>
      <c r="AO577" s="789"/>
      <c r="AP577" s="789"/>
      <c r="AQ577" s="789"/>
      <c r="AR577" s="97">
        <f>AR575-AR576</f>
        <v>12049</v>
      </c>
      <c r="AS577" s="97">
        <f>AS575-AS576</f>
        <v>11342</v>
      </c>
      <c r="AT577" s="96">
        <f t="shared" si="5"/>
        <v>707</v>
      </c>
      <c r="AU577" s="95">
        <f t="shared" si="6"/>
        <v>0.06233468524069829</v>
      </c>
      <c r="AV577" s="18"/>
      <c r="AW577" s="18"/>
      <c r="AX577" s="18"/>
      <c r="AY577" s="18"/>
      <c r="AZ577" s="18"/>
      <c r="BA577" s="18"/>
      <c r="BB577" s="18"/>
      <c r="BC577" s="18"/>
      <c r="BD577" s="18"/>
    </row>
    <row r="578" spans="39:56" ht="16.5" customHeight="1">
      <c r="AM578" s="788">
        <v>12</v>
      </c>
      <c r="AN578" s="790" t="s">
        <v>30</v>
      </c>
      <c r="AO578" s="789"/>
      <c r="AP578" s="789"/>
      <c r="AQ578" s="789"/>
      <c r="AR578" s="93">
        <f>D144+D166</f>
        <v>7649</v>
      </c>
      <c r="AS578" s="93">
        <f>E144+E166</f>
        <v>5565</v>
      </c>
      <c r="AT578" s="96">
        <f t="shared" si="5"/>
        <v>2084</v>
      </c>
      <c r="AU578" s="95">
        <f t="shared" si="6"/>
        <v>0.37448337825696315</v>
      </c>
      <c r="AV578" s="18"/>
      <c r="AW578" s="18"/>
      <c r="AX578" s="18"/>
      <c r="AY578" s="18"/>
      <c r="AZ578" s="18"/>
      <c r="BA578" s="18"/>
      <c r="BB578" s="18"/>
      <c r="BC578" s="18"/>
      <c r="BD578" s="18"/>
    </row>
    <row r="579" spans="39:56" ht="16.5" customHeight="1">
      <c r="AM579" s="788">
        <v>13</v>
      </c>
      <c r="AN579" s="790" t="s">
        <v>31</v>
      </c>
      <c r="AO579" s="789"/>
      <c r="AP579" s="789"/>
      <c r="AQ579" s="789"/>
      <c r="AR579" s="97">
        <f>D167</f>
        <v>21489</v>
      </c>
      <c r="AS579" s="97">
        <f>E167</f>
        <v>19317</v>
      </c>
      <c r="AT579" s="96">
        <f t="shared" si="5"/>
        <v>2172</v>
      </c>
      <c r="AU579" s="95">
        <f t="shared" si="6"/>
        <v>0.11243981984780245</v>
      </c>
      <c r="AV579" s="18"/>
      <c r="AW579" s="18"/>
      <c r="AX579" s="18"/>
      <c r="AY579" s="18"/>
      <c r="AZ579" s="18"/>
      <c r="BA579" s="18"/>
      <c r="BB579" s="18"/>
      <c r="BC579" s="18"/>
      <c r="BD579" s="18"/>
    </row>
    <row r="580" spans="39:56" ht="16.5" customHeight="1">
      <c r="AM580" s="788">
        <v>14</v>
      </c>
      <c r="AN580" s="791" t="s">
        <v>32</v>
      </c>
      <c r="AO580" s="792"/>
      <c r="AP580" s="792"/>
      <c r="AQ580" s="793"/>
      <c r="AR580" s="97">
        <f>D20</f>
        <v>6773</v>
      </c>
      <c r="AS580" s="97">
        <f>E20</f>
        <v>6985</v>
      </c>
      <c r="AT580" s="96">
        <f t="shared" si="5"/>
        <v>-212</v>
      </c>
      <c r="AU580" s="95">
        <f t="shared" si="6"/>
        <v>-0.03035075161059413</v>
      </c>
      <c r="AV580" s="18"/>
      <c r="AW580" s="18"/>
      <c r="AX580" s="18"/>
      <c r="AY580" s="18"/>
      <c r="AZ580" s="18"/>
      <c r="BA580" s="18"/>
      <c r="BB580" s="18"/>
      <c r="BC580" s="18"/>
      <c r="BD580" s="18"/>
    </row>
    <row r="581" spans="39:56" ht="16.5" customHeight="1">
      <c r="AM581" s="794">
        <v>15</v>
      </c>
      <c r="AN581" s="795" t="s">
        <v>33</v>
      </c>
      <c r="AO581" s="796"/>
      <c r="AP581" s="796"/>
      <c r="AQ581" s="797"/>
      <c r="AR581" s="100"/>
      <c r="AS581" s="100"/>
      <c r="AT581" s="100"/>
      <c r="AU581" s="101"/>
      <c r="AV581" s="18"/>
      <c r="AW581" s="18"/>
      <c r="AX581" s="18"/>
      <c r="AY581" s="18"/>
      <c r="AZ581" s="18"/>
      <c r="BA581" s="18"/>
      <c r="BB581" s="18"/>
      <c r="BC581" s="18"/>
      <c r="BD581" s="18"/>
    </row>
    <row r="582" spans="39:56" ht="16.5" customHeight="1">
      <c r="AM582" s="798"/>
      <c r="AN582" s="799" t="s">
        <v>977</v>
      </c>
      <c r="AO582" s="789"/>
      <c r="AP582" s="789"/>
      <c r="AQ582" s="800"/>
      <c r="AR582" s="102">
        <f>IF(AR571&lt;=0,0,AR574/AR571)</f>
        <v>0.723771676300578</v>
      </c>
      <c r="AS582" s="102">
        <f>IF(AS571&lt;=0,0,AS574/AS571)</f>
        <v>0.7284031413612565</v>
      </c>
      <c r="AT582" s="102">
        <f>AR582-AS582</f>
        <v>-0.0046314650606784635</v>
      </c>
      <c r="AU582" s="103">
        <f>IF(AND(AS582=0,AR582=0),0,IF(AS582&lt;&gt;0,AT582/ABS(AS582),IF(AS582=0,AT582/ABS(AR582),FLASE)))</f>
        <v>-0.00635838150289011</v>
      </c>
      <c r="AV582" s="18"/>
      <c r="AW582" s="18"/>
      <c r="AX582" s="18"/>
      <c r="AY582" s="18"/>
      <c r="AZ582" s="18"/>
      <c r="BA582" s="18"/>
      <c r="BB582" s="18"/>
      <c r="BC582" s="18"/>
      <c r="BD582" s="18"/>
    </row>
    <row r="583" spans="39:56" ht="16.5" customHeight="1">
      <c r="AM583" s="801">
        <v>16</v>
      </c>
      <c r="AN583" s="795" t="s">
        <v>34</v>
      </c>
      <c r="AO583" s="796"/>
      <c r="AP583" s="796"/>
      <c r="AQ583" s="797"/>
      <c r="AR583" s="100"/>
      <c r="AS583" s="100"/>
      <c r="AT583" s="100"/>
      <c r="AU583" s="104"/>
      <c r="AV583" s="18"/>
      <c r="AW583" s="18"/>
      <c r="AX583" s="18"/>
      <c r="AY583" s="18"/>
      <c r="AZ583" s="18"/>
      <c r="BA583" s="18"/>
      <c r="BB583" s="18"/>
      <c r="BC583" s="18"/>
      <c r="BD583" s="18"/>
    </row>
    <row r="584" spans="39:56" ht="16.5" customHeight="1">
      <c r="AM584" s="802"/>
      <c r="AN584" s="803" t="s">
        <v>978</v>
      </c>
      <c r="AO584" s="789"/>
      <c r="AP584" s="789"/>
      <c r="AQ584" s="800"/>
      <c r="AR584" s="102">
        <f>IF(AR579=0,0,AR571/AR579)</f>
        <v>0.6440504444134209</v>
      </c>
      <c r="AS584" s="102">
        <f>IF(AS579=0,0,AS571/AS579)</f>
        <v>0.7119117875446498</v>
      </c>
      <c r="AT584" s="102">
        <f>AR584-AS584</f>
        <v>-0.06786134313122894</v>
      </c>
      <c r="AU584" s="105">
        <f>IF(AND(AS584=0,AR584=0),0,IF(AS584&lt;&gt;0,AT584/ABS(AS584),IF(AS584=0,AT584/ABS(AR584),FLASE)))</f>
        <v>-0.09532268508332965</v>
      </c>
      <c r="AV584" s="18"/>
      <c r="AW584" s="18"/>
      <c r="AX584" s="18"/>
      <c r="AY584" s="18"/>
      <c r="AZ584" s="18"/>
      <c r="BA584" s="18"/>
      <c r="BB584" s="18"/>
      <c r="BC584" s="18"/>
      <c r="BD584" s="18"/>
    </row>
    <row r="585" spans="39:56" ht="16.5" customHeight="1">
      <c r="AM585" s="794">
        <v>17</v>
      </c>
      <c r="AN585" s="795" t="s">
        <v>35</v>
      </c>
      <c r="AO585" s="796"/>
      <c r="AP585" s="796"/>
      <c r="AQ585" s="804"/>
      <c r="AR585" s="106"/>
      <c r="AS585" s="106"/>
      <c r="AT585" s="106"/>
      <c r="AU585" s="107"/>
      <c r="AV585" s="18"/>
      <c r="AW585" s="18"/>
      <c r="AX585" s="18"/>
      <c r="AY585" s="18"/>
      <c r="AZ585" s="18"/>
      <c r="BA585" s="18"/>
      <c r="BB585" s="18"/>
      <c r="BC585" s="18"/>
      <c r="BD585" s="18"/>
    </row>
    <row r="586" spans="39:56" ht="16.5" customHeight="1">
      <c r="AM586" s="805"/>
      <c r="AN586" s="799" t="s">
        <v>979</v>
      </c>
      <c r="AO586" s="789"/>
      <c r="AP586" s="789"/>
      <c r="AQ586" s="806"/>
      <c r="AR586" s="102">
        <f>IF(AR579=0,0,AR578/AR579)</f>
        <v>0.3559495555865792</v>
      </c>
      <c r="AS586" s="102">
        <f>IF(AS579=0,0,AS578/AS579)</f>
        <v>0.2880882124553502</v>
      </c>
      <c r="AT586" s="102">
        <f>AR586-AS586</f>
        <v>0.06786134313122899</v>
      </c>
      <c r="AU586" s="103">
        <f>IF(AND(AS586=0,AR586=0),0,IF(AS586&lt;&gt;0,AT586/ABS(AS586),IF(AS586=0,AT586/ABS(AR586),FLASE)))</f>
        <v>0.23555751397411506</v>
      </c>
      <c r="AV586" s="18"/>
      <c r="AW586" s="18"/>
      <c r="AX586" s="18"/>
      <c r="AY586" s="18"/>
      <c r="AZ586" s="18"/>
      <c r="BA586" s="18"/>
      <c r="BB586" s="18"/>
      <c r="BC586" s="18"/>
      <c r="BD586" s="18"/>
    </row>
    <row r="587" spans="39:56" ht="16.5" customHeight="1">
      <c r="AM587" s="801">
        <v>18</v>
      </c>
      <c r="AN587" s="795" t="s">
        <v>36</v>
      </c>
      <c r="AO587" s="796"/>
      <c r="AP587" s="796"/>
      <c r="AQ587" s="797"/>
      <c r="AR587" s="100"/>
      <c r="AS587" s="100"/>
      <c r="AT587" s="100"/>
      <c r="AU587" s="104"/>
      <c r="AV587" s="18"/>
      <c r="AW587" s="18"/>
      <c r="AX587" s="18"/>
      <c r="AY587" s="18"/>
      <c r="AZ587" s="18"/>
      <c r="BA587" s="18"/>
      <c r="BB587" s="18"/>
      <c r="BC587" s="18"/>
      <c r="BD587" s="18"/>
    </row>
    <row r="588" spans="39:56" ht="16.5" customHeight="1">
      <c r="AM588" s="802"/>
      <c r="AN588" s="799" t="s">
        <v>1161</v>
      </c>
      <c r="AO588" s="789"/>
      <c r="AP588" s="789"/>
      <c r="AQ588" s="806"/>
      <c r="AR588" s="102">
        <f>IF(AR578=0,1,AR571/AR578)</f>
        <v>1.809386847953981</v>
      </c>
      <c r="AS588" s="102">
        <f>IF(AS578=0,0,AS571/AS578)</f>
        <v>2.4711590296495958</v>
      </c>
      <c r="AT588" s="102">
        <f>AR588-AS588</f>
        <v>-0.6617721816956148</v>
      </c>
      <c r="AU588" s="105">
        <f>IF(AND(AS588=0,AR588=0),0,IF(AS588&lt;&gt;0,AT588/ABS(AS588),IF(AS588=0,AT588/ABS(AR588),FLASE)))</f>
        <v>-0.2677982977847656</v>
      </c>
      <c r="AV588" s="18"/>
      <c r="AW588" s="18"/>
      <c r="AX588" s="18"/>
      <c r="AY588" s="18"/>
      <c r="AZ588" s="18"/>
      <c r="BA588" s="18"/>
      <c r="BB588" s="18"/>
      <c r="BC588" s="18"/>
      <c r="BD588" s="18"/>
    </row>
    <row r="589" spans="39:56" ht="16.5" customHeight="1">
      <c r="AM589" s="788">
        <v>19</v>
      </c>
      <c r="AN589" s="789" t="s">
        <v>1162</v>
      </c>
      <c r="AO589" s="789"/>
      <c r="AP589" s="789"/>
      <c r="AQ589" s="789"/>
      <c r="AR589" s="108">
        <f>IF(AR571&lt;=0,0,AR578/AR571)</f>
        <v>0.5526734104046243</v>
      </c>
      <c r="AS589" s="108">
        <f>IF(AS571&lt;=0,0,AS578/AS571)</f>
        <v>0.40466841186736474</v>
      </c>
      <c r="AT589" s="102">
        <f>AR589-AS589</f>
        <v>0.1480049985372595</v>
      </c>
      <c r="AU589" s="105">
        <f>IF(AND(AS589=0,AR589=0),0,IF(AS589&lt;&gt;0,AT589/ABS(AS589),IF(AS589=0,AT589/ABS(AR589),FLASE)))</f>
        <v>0.36574388856862405</v>
      </c>
      <c r="AV589" s="18"/>
      <c r="AW589" s="18"/>
      <c r="AX589" s="18"/>
      <c r="AY589" s="18"/>
      <c r="AZ589" s="18"/>
      <c r="BA589" s="18"/>
      <c r="BB589" s="18"/>
      <c r="BC589" s="18"/>
      <c r="BD589" s="18"/>
    </row>
    <row r="590" spans="39:56" ht="16.5" customHeight="1">
      <c r="AM590" s="801">
        <v>20</v>
      </c>
      <c r="AN590" s="795" t="s">
        <v>37</v>
      </c>
      <c r="AO590" s="796"/>
      <c r="AP590" s="796"/>
      <c r="AQ590" s="797"/>
      <c r="AR590" s="100"/>
      <c r="AS590" s="100"/>
      <c r="AT590" s="100"/>
      <c r="AU590" s="104"/>
      <c r="AV590" s="18"/>
      <c r="AW590" s="18"/>
      <c r="AX590" s="18"/>
      <c r="AY590" s="18"/>
      <c r="AZ590" s="18"/>
      <c r="BA590" s="18"/>
      <c r="BB590" s="18"/>
      <c r="BC590" s="18"/>
      <c r="BD590" s="18"/>
    </row>
    <row r="591" spans="39:56" ht="16.5" customHeight="1">
      <c r="AM591" s="807"/>
      <c r="AN591" s="799" t="s">
        <v>2407</v>
      </c>
      <c r="AO591" s="789"/>
      <c r="AP591" s="808"/>
      <c r="AQ591" s="806"/>
      <c r="AR591" s="109">
        <f>IF(OR(AR571&lt;=0,AR577&lt;=0),0,AR577/AR571)</f>
        <v>0.8705924855491329</v>
      </c>
      <c r="AS591" s="109">
        <f>IF(OR(AS571&lt;=0,AS577&lt;=0),0,AS577/AS571)</f>
        <v>0.8247527632344386</v>
      </c>
      <c r="AT591" s="109">
        <f>AR591-AS591</f>
        <v>0.04583972231469435</v>
      </c>
      <c r="AU591" s="105">
        <f>IF(AND(AS591=0,AR591=0),0,IF(AS591&lt;&gt;0,AT591/ABS(AS591),IF(AS591=0,AT591/ABS(AR591),FLASE)))</f>
        <v>0.055579956028185225</v>
      </c>
      <c r="AV591" s="18"/>
      <c r="AW591" s="18"/>
      <c r="AX591" s="18"/>
      <c r="AY591" s="18"/>
      <c r="AZ591" s="18"/>
      <c r="BA591" s="18"/>
      <c r="BB591" s="18"/>
      <c r="BC591" s="18"/>
      <c r="BD591" s="18"/>
    </row>
    <row r="592" spans="39:56" ht="16.5" customHeight="1">
      <c r="AM592" s="794">
        <v>21</v>
      </c>
      <c r="AN592" s="795" t="s">
        <v>38</v>
      </c>
      <c r="AO592" s="796"/>
      <c r="AP592" s="796"/>
      <c r="AQ592" s="797"/>
      <c r="AR592" s="100"/>
      <c r="AS592" s="100"/>
      <c r="AT592" s="100"/>
      <c r="AU592" s="104"/>
      <c r="AV592" s="18"/>
      <c r="AW592" s="18"/>
      <c r="AX592" s="18"/>
      <c r="AY592" s="18"/>
      <c r="AZ592" s="18"/>
      <c r="BA592" s="18"/>
      <c r="BB592" s="18"/>
      <c r="BC592" s="18"/>
      <c r="BD592" s="18"/>
    </row>
    <row r="593" spans="39:56" ht="16.5" customHeight="1">
      <c r="AM593" s="798"/>
      <c r="AN593" s="799" t="s">
        <v>2400</v>
      </c>
      <c r="AO593" s="789"/>
      <c r="AP593" s="789"/>
      <c r="AQ593" s="806"/>
      <c r="AR593" s="109">
        <f>IF(AR576=0,0,AR577/AR576)</f>
        <v>15.853947368421053</v>
      </c>
      <c r="AS593" s="109">
        <f>IF(AS576=0,0,AS577/AS576)</f>
        <v>11.526422764227643</v>
      </c>
      <c r="AT593" s="109">
        <f>AR593-AS593</f>
        <v>4.32752460419341</v>
      </c>
      <c r="AU593" s="105">
        <f>IF(AND(AS593=0,AR593=0),0,IF(AS593&lt;&gt;0,AT593/ABS(AS593),IF(AS593=0,AT593/ABS(AR593),FLASE)))</f>
        <v>0.3754438556274304</v>
      </c>
      <c r="AV593" s="18"/>
      <c r="AW593" s="18"/>
      <c r="AX593" s="18"/>
      <c r="AY593" s="18"/>
      <c r="AZ593" s="18"/>
      <c r="BA593" s="18"/>
      <c r="BB593" s="18"/>
      <c r="BC593" s="18"/>
      <c r="BD593" s="18"/>
    </row>
    <row r="594" spans="39:56" ht="16.5" customHeight="1">
      <c r="AM594" s="794">
        <v>22</v>
      </c>
      <c r="AN594" s="809" t="s">
        <v>1269</v>
      </c>
      <c r="AO594" s="795"/>
      <c r="AP594" s="796"/>
      <c r="AQ594" s="797"/>
      <c r="AR594" s="110"/>
      <c r="AS594" s="100"/>
      <c r="AT594" s="100"/>
      <c r="AU594" s="101"/>
      <c r="AV594" s="18"/>
      <c r="AW594" s="18"/>
      <c r="AX594" s="18"/>
      <c r="AY594" s="18"/>
      <c r="AZ594" s="18"/>
      <c r="BA594" s="18"/>
      <c r="BB594" s="18"/>
      <c r="BC594" s="18"/>
      <c r="BD594" s="18"/>
    </row>
    <row r="595" spans="39:56" ht="16.5" customHeight="1">
      <c r="AM595" s="798"/>
      <c r="AN595" s="810" t="s">
        <v>2401</v>
      </c>
      <c r="AO595" s="799"/>
      <c r="AP595" s="789"/>
      <c r="AQ595" s="806"/>
      <c r="AR595" s="111">
        <f>IF(OR(AR573&lt;=0,AR571&lt;=0),0,AR571/AR573)</f>
        <v>2.367835757057314</v>
      </c>
      <c r="AS595" s="109">
        <f>IF(OR(AS573&lt;=0,AS571&lt;=0),0,AS571/AS573)</f>
        <v>3.9539965497412304</v>
      </c>
      <c r="AT595" s="109">
        <f>AR595-AS595</f>
        <v>-1.5861607926839163</v>
      </c>
      <c r="AU595" s="105">
        <f>IF(AND(AS595=0,AR595=0),0,IF(AS595&lt;&gt;0,AT595/ABS(AS595),IF(AS595=0,AT595/ABS(AR595),FLASE)))</f>
        <v>-0.4011538130420783</v>
      </c>
      <c r="AV595" s="18"/>
      <c r="AW595" s="18"/>
      <c r="AX595" s="18"/>
      <c r="AY595" s="18"/>
      <c r="AZ595" s="18"/>
      <c r="BA595" s="18"/>
      <c r="BB595" s="18"/>
      <c r="BC595" s="18"/>
      <c r="BD595" s="18"/>
    </row>
    <row r="596" spans="39:56" ht="16.5" customHeight="1">
      <c r="AM596" s="811">
        <v>23</v>
      </c>
      <c r="AN596" s="795" t="s">
        <v>1248</v>
      </c>
      <c r="AO596" s="110"/>
      <c r="AP596" s="110"/>
      <c r="AQ596" s="110"/>
      <c r="AR596" s="113"/>
      <c r="AS596" s="113"/>
      <c r="AT596" s="114"/>
      <c r="AU596" s="115"/>
      <c r="AV596" s="18"/>
      <c r="AW596" s="18"/>
      <c r="AX596" s="18"/>
      <c r="AY596" s="18"/>
      <c r="AZ596" s="18"/>
      <c r="BA596" s="18"/>
      <c r="BB596" s="18"/>
      <c r="BC596" s="18"/>
      <c r="BD596" s="18"/>
    </row>
    <row r="597" spans="39:56" ht="16.5" customHeight="1">
      <c r="AM597" s="811"/>
      <c r="AN597" s="803" t="s">
        <v>2402</v>
      </c>
      <c r="AO597" s="789"/>
      <c r="AP597" s="789"/>
      <c r="AQ597" s="789"/>
      <c r="AR597" s="116">
        <f>IF(AR580=0,0,AR571/AR580)</f>
        <v>2.043407648014174</v>
      </c>
      <c r="AS597" s="116">
        <f>IF(AS580=0,0,AS571/AS580)</f>
        <v>1.968790264853257</v>
      </c>
      <c r="AT597" s="109">
        <f>AR597-AS597</f>
        <v>0.07461738316091715</v>
      </c>
      <c r="AU597" s="105">
        <f>IF(AND(AS597=0,AR597=0),0,IF(AS597&lt;&gt;0,AT597/ABS(AS597),IF(AS597=0,AT597/ABS(AR597),FLASE)))</f>
        <v>0.0379001179013239</v>
      </c>
      <c r="AV597" s="18"/>
      <c r="AW597" s="18"/>
      <c r="AX597" s="18"/>
      <c r="AY597" s="18"/>
      <c r="AZ597" s="18"/>
      <c r="BA597" s="18"/>
      <c r="BB597" s="18"/>
      <c r="BC597" s="18"/>
      <c r="BD597" s="18"/>
    </row>
    <row r="598" spans="39:56" ht="16.5" customHeight="1">
      <c r="AM598" s="794">
        <v>24</v>
      </c>
      <c r="AN598" s="795" t="s">
        <v>1248</v>
      </c>
      <c r="AO598" s="796"/>
      <c r="AP598" s="796"/>
      <c r="AQ598" s="797"/>
      <c r="AR598" s="100"/>
      <c r="AS598" s="100"/>
      <c r="AT598" s="100"/>
      <c r="AU598" s="104"/>
      <c r="AV598" s="18"/>
      <c r="AW598" s="18"/>
      <c r="AX598" s="18"/>
      <c r="AY598" s="18"/>
      <c r="AZ598" s="18"/>
      <c r="BA598" s="18"/>
      <c r="BB598" s="18"/>
      <c r="BC598" s="18"/>
      <c r="BD598" s="18"/>
    </row>
    <row r="599" spans="39:56" ht="16.5" customHeight="1" thickBot="1">
      <c r="AM599" s="812"/>
      <c r="AN599" s="813" t="s">
        <v>2403</v>
      </c>
      <c r="AO599" s="814"/>
      <c r="AP599" s="814"/>
      <c r="AQ599" s="815"/>
      <c r="AR599" s="117">
        <f>IF(AR572=0,0,AR571/AR572)</f>
        <v>1.5944700460829493</v>
      </c>
      <c r="AS599" s="117">
        <f>IF(AS572=0,0,AS571/AS572)</f>
        <v>1.967100557860106</v>
      </c>
      <c r="AT599" s="117">
        <f>AR599-AS599</f>
        <v>-0.37263051177715667</v>
      </c>
      <c r="AU599" s="118">
        <f>IF(AND(AS599=0,AR599=0),0,IF(AS599&lt;&gt;0,AT599/ABS(AS599),IF(AS599=0,AT599/ABS(AR599),FLASE)))</f>
        <v>-0.1894313487372093</v>
      </c>
      <c r="AV599" s="18"/>
      <c r="AW599" s="18"/>
      <c r="AX599" s="18"/>
      <c r="AY599" s="18"/>
      <c r="AZ599" s="18"/>
      <c r="BA599" s="18"/>
      <c r="BB599" s="18"/>
      <c r="BC599" s="18"/>
      <c r="BD599" s="18"/>
    </row>
    <row r="600" spans="39:56" ht="9.75" customHeight="1">
      <c r="AM600" s="666"/>
      <c r="AN600" s="666"/>
      <c r="AO600" s="666"/>
      <c r="AP600" s="666"/>
      <c r="AQ600" s="666"/>
      <c r="AR600" s="666"/>
      <c r="AS600" s="666"/>
      <c r="AT600" s="666"/>
      <c r="AU600" s="666"/>
      <c r="AV600" s="62">
        <f>+' -'!$B$11</f>
      </c>
      <c r="AW600" s="18"/>
      <c r="AX600" s="18"/>
      <c r="AY600" s="18"/>
      <c r="AZ600" s="18"/>
      <c r="BA600" s="18"/>
      <c r="BB600" s="18"/>
      <c r="BC600" s="18"/>
      <c r="BD600" s="18"/>
    </row>
    <row r="601" spans="39:56" ht="23.25" customHeight="1">
      <c r="AM601" s="666"/>
      <c r="AN601" s="666" t="s">
        <v>1249</v>
      </c>
      <c r="AO601" s="666"/>
      <c r="AP601" s="666"/>
      <c r="AQ601" s="666"/>
      <c r="AR601" s="666"/>
      <c r="AS601" s="666"/>
      <c r="AT601" s="666"/>
      <c r="AU601" s="816">
        <f>+AR579</f>
        <v>21489</v>
      </c>
      <c r="AV601" s="18"/>
      <c r="AW601" s="18"/>
      <c r="AX601" s="18"/>
      <c r="AY601" s="18"/>
      <c r="AZ601" s="18"/>
      <c r="BA601" s="18"/>
      <c r="BB601" s="18"/>
      <c r="BC601" s="18"/>
      <c r="BD601" s="18"/>
    </row>
    <row r="602" spans="39:56" ht="23.25" customHeight="1">
      <c r="AM602" s="666" t="s">
        <v>1250</v>
      </c>
      <c r="AN602" s="666"/>
      <c r="AO602" s="816">
        <f>IF(AR571&gt;0,AR571,0)</f>
        <v>13840</v>
      </c>
      <c r="AP602" s="816" t="s">
        <v>1251</v>
      </c>
      <c r="AQ602" s="817">
        <f>+AO602/AU601</f>
        <v>0.6440504444134209</v>
      </c>
      <c r="AR602" s="760" t="s">
        <v>1252</v>
      </c>
      <c r="AS602" s="760"/>
      <c r="AT602" s="760"/>
      <c r="AU602" s="816">
        <f>+AR578</f>
        <v>7649</v>
      </c>
      <c r="AV602" s="18"/>
      <c r="AW602" s="18"/>
      <c r="AX602" s="18"/>
      <c r="AY602" s="18"/>
      <c r="AZ602" s="18"/>
      <c r="BA602" s="18"/>
      <c r="BB602" s="18"/>
      <c r="BC602" s="18"/>
      <c r="BD602" s="18"/>
    </row>
    <row r="603" spans="39:56" ht="23.25" customHeight="1">
      <c r="AM603" s="666" t="s">
        <v>1253</v>
      </c>
      <c r="AN603" s="666"/>
      <c r="AO603" s="817">
        <f>AU602/AU601</f>
        <v>0.3559495555865792</v>
      </c>
      <c r="AP603" s="666" t="s">
        <v>464</v>
      </c>
      <c r="AQ603" s="666"/>
      <c r="AR603" s="666"/>
      <c r="AS603" s="666"/>
      <c r="AT603" s="666"/>
      <c r="AU603" s="666"/>
      <c r="AV603" s="18"/>
      <c r="AW603" s="18"/>
      <c r="AX603" s="18"/>
      <c r="AY603" s="18"/>
      <c r="AZ603" s="18"/>
      <c r="BA603" s="18"/>
      <c r="BB603" s="18"/>
      <c r="BC603" s="18"/>
      <c r="BD603" s="18"/>
    </row>
    <row r="604" spans="39:56" ht="23.25" customHeight="1">
      <c r="AM604" s="666" t="s">
        <v>465</v>
      </c>
      <c r="AN604" s="666"/>
      <c r="AO604" s="818" t="str">
        <f>IF(AT579&gt;=0,"увеличен   с","намален  с")</f>
        <v>увеличен   с</v>
      </c>
      <c r="AP604" s="818"/>
      <c r="AQ604" s="819">
        <f>ABS(AT579)</f>
        <v>2172</v>
      </c>
      <c r="AR604" s="760" t="s">
        <v>466</v>
      </c>
      <c r="AS604" s="760"/>
      <c r="AT604" s="760"/>
      <c r="AU604" s="820">
        <f>ABS(AU579)</f>
        <v>0.11243981984780245</v>
      </c>
      <c r="AV604" s="18"/>
      <c r="AW604" s="18"/>
      <c r="AX604" s="18"/>
      <c r="AY604" s="18"/>
      <c r="AZ604" s="18"/>
      <c r="BA604" s="18"/>
      <c r="BB604" s="18"/>
      <c r="BC604" s="18"/>
      <c r="BD604" s="18"/>
    </row>
    <row r="605" spans="39:56" ht="23.25" customHeight="1">
      <c r="AM605" s="666"/>
      <c r="AN605" s="666" t="s">
        <v>467</v>
      </c>
      <c r="AO605" s="666"/>
      <c r="AP605" s="666"/>
      <c r="AQ605" s="818" t="str">
        <f>IF(AT571&gt;=0,"увеличен  с","намален  с")</f>
        <v>увеличен  с</v>
      </c>
      <c r="AR605" s="818"/>
      <c r="AS605" s="821">
        <f>ABS(AT571)</f>
        <v>88</v>
      </c>
      <c r="AT605" s="666" t="s">
        <v>468</v>
      </c>
      <c r="AU605" s="666"/>
      <c r="AV605" s="18"/>
      <c r="AW605" s="18"/>
      <c r="AX605" s="18"/>
      <c r="AY605" s="18"/>
      <c r="AZ605" s="18"/>
      <c r="BA605" s="18"/>
      <c r="BB605" s="18"/>
      <c r="BC605" s="18"/>
      <c r="BD605" s="18"/>
    </row>
    <row r="606" spans="39:56" ht="23.25" customHeight="1">
      <c r="AM606" s="666">
        <v>1</v>
      </c>
      <c r="AN606" s="760" t="str">
        <f>IF(AT567&gt;=0,"Увеличение   на","Намаление    на")</f>
        <v>Увеличение   на</v>
      </c>
      <c r="AO606" s="760"/>
      <c r="AP606" s="760" t="s">
        <v>2404</v>
      </c>
      <c r="AQ606" s="761"/>
      <c r="AR606" s="761"/>
      <c r="AS606" s="821">
        <f>AT567</f>
        <v>0</v>
      </c>
      <c r="AT606" s="666" t="s">
        <v>469</v>
      </c>
      <c r="AU606" s="666"/>
      <c r="AV606" s="18"/>
      <c r="AW606" s="18"/>
      <c r="AX606" s="18"/>
      <c r="AY606" s="18"/>
      <c r="AZ606" s="18"/>
      <c r="BA606" s="18"/>
      <c r="BB606" s="18"/>
      <c r="BC606" s="18"/>
      <c r="BD606" s="18"/>
    </row>
    <row r="607" spans="39:56" ht="23.25" customHeight="1">
      <c r="AM607" s="666">
        <v>2</v>
      </c>
      <c r="AN607" s="760" t="str">
        <f>IF(AT568&gt;=0,"Увеличение   на","Намаление   на")</f>
        <v>Увеличение   на</v>
      </c>
      <c r="AO607" s="760"/>
      <c r="AP607" s="760" t="s">
        <v>470</v>
      </c>
      <c r="AQ607" s="760"/>
      <c r="AR607" s="760"/>
      <c r="AS607" s="821">
        <f>AT568</f>
        <v>410</v>
      </c>
      <c r="AT607" s="666" t="s">
        <v>469</v>
      </c>
      <c r="AU607" s="666"/>
      <c r="AV607" s="18"/>
      <c r="AW607" s="18"/>
      <c r="AX607" s="18"/>
      <c r="AY607" s="18"/>
      <c r="AZ607" s="18"/>
      <c r="BA607" s="18"/>
      <c r="BB607" s="18"/>
      <c r="BC607" s="18"/>
      <c r="BD607" s="18"/>
    </row>
    <row r="608" spans="39:56" ht="23.25" customHeight="1">
      <c r="AM608" s="666">
        <v>3</v>
      </c>
      <c r="AN608" s="760" t="str">
        <f>IF(AT569&gt;=0,"Увеличение   на","Намаление   на")</f>
        <v>Увеличение   на</v>
      </c>
      <c r="AO608" s="760"/>
      <c r="AP608" s="760" t="s">
        <v>76</v>
      </c>
      <c r="AQ608" s="760"/>
      <c r="AR608" s="760"/>
      <c r="AS608" s="821">
        <f>AT569</f>
        <v>0</v>
      </c>
      <c r="AT608" s="666" t="s">
        <v>469</v>
      </c>
      <c r="AU608" s="666"/>
      <c r="AV608" s="18"/>
      <c r="AW608" s="18"/>
      <c r="AX608" s="18"/>
      <c r="AY608" s="18"/>
      <c r="AZ608" s="18"/>
      <c r="BA608" s="18"/>
      <c r="BB608" s="18"/>
      <c r="BC608" s="18"/>
      <c r="BD608" s="18"/>
    </row>
    <row r="609" spans="39:56" ht="23.25" customHeight="1">
      <c r="AM609" s="666">
        <v>4</v>
      </c>
      <c r="AN609" s="760" t="str">
        <f>IF(AT570&gt;=0,"Увеличение   на","Намаление   на")</f>
        <v>Намаление   на</v>
      </c>
      <c r="AO609" s="760"/>
      <c r="AP609" s="760" t="s">
        <v>77</v>
      </c>
      <c r="AQ609" s="760"/>
      <c r="AR609" s="760"/>
      <c r="AS609" s="821">
        <f>AT570</f>
        <v>-322</v>
      </c>
      <c r="AT609" s="666" t="s">
        <v>469</v>
      </c>
      <c r="AU609" s="666"/>
      <c r="AV609" s="18"/>
      <c r="AW609" s="18"/>
      <c r="AX609" s="18"/>
      <c r="AY609" s="18"/>
      <c r="AZ609" s="18"/>
      <c r="BA609" s="18"/>
      <c r="BB609" s="18"/>
      <c r="BC609" s="18"/>
      <c r="BD609" s="18"/>
    </row>
    <row r="610" spans="39:56" ht="23.25" customHeight="1">
      <c r="AM610" s="760" t="s">
        <v>78</v>
      </c>
      <c r="AN610" s="760"/>
      <c r="AO610" s="760"/>
      <c r="AP610" s="760"/>
      <c r="AQ610" s="760"/>
      <c r="AR610" s="760"/>
      <c r="AS610" s="760"/>
      <c r="AT610" s="760"/>
      <c r="AU610" s="760"/>
      <c r="AV610" s="18"/>
      <c r="AW610" s="18"/>
      <c r="AX610" s="18"/>
      <c r="AY610" s="18"/>
      <c r="AZ610" s="18"/>
      <c r="BA610" s="18"/>
      <c r="BB610" s="18"/>
      <c r="BC610" s="18"/>
      <c r="BD610" s="18"/>
    </row>
    <row r="611" spans="39:56" ht="23.25" customHeight="1">
      <c r="AM611" s="666"/>
      <c r="AN611" s="666"/>
      <c r="AO611" s="666"/>
      <c r="AP611" s="666"/>
      <c r="AQ611" s="667" t="s">
        <v>2405</v>
      </c>
      <c r="AR611" s="129">
        <f>AR567/$AR$571</f>
        <v>0.723771676300578</v>
      </c>
      <c r="AS611" s="666"/>
      <c r="AT611" s="666"/>
      <c r="AU611" s="666"/>
      <c r="AV611" s="18"/>
      <c r="AW611" s="18"/>
      <c r="AX611" s="18"/>
      <c r="AY611" s="18"/>
      <c r="AZ611" s="18"/>
      <c r="BA611" s="18"/>
      <c r="BB611" s="18"/>
      <c r="BC611" s="18"/>
      <c r="BD611" s="18"/>
    </row>
    <row r="612" spans="39:56" ht="23.25" customHeight="1">
      <c r="AM612" s="666"/>
      <c r="AN612" s="666"/>
      <c r="AO612" s="666"/>
      <c r="AP612" s="666"/>
      <c r="AQ612" s="667" t="s">
        <v>2406</v>
      </c>
      <c r="AR612" s="129">
        <f>AR568/$AR$571</f>
        <v>0.26878612716763006</v>
      </c>
      <c r="AS612" s="666"/>
      <c r="AT612" s="666"/>
      <c r="AU612" s="666"/>
      <c r="AV612" s="18"/>
      <c r="AW612" s="18"/>
      <c r="AX612" s="18"/>
      <c r="AY612" s="18"/>
      <c r="AZ612" s="18"/>
      <c r="BA612" s="18"/>
      <c r="BB612" s="18"/>
      <c r="BC612" s="18"/>
      <c r="BD612" s="18"/>
    </row>
    <row r="613" spans="39:56" ht="23.25" customHeight="1">
      <c r="AM613" s="666"/>
      <c r="AN613" s="666"/>
      <c r="AO613" s="666"/>
      <c r="AP613" s="666"/>
      <c r="AQ613" s="667" t="s">
        <v>79</v>
      </c>
      <c r="AR613" s="129">
        <f>(AR569+AR570)/$AR$571</f>
        <v>0.007442196531791907</v>
      </c>
      <c r="AS613" s="666"/>
      <c r="AT613" s="666"/>
      <c r="AU613" s="666"/>
      <c r="AV613" s="18"/>
      <c r="AW613" s="18"/>
      <c r="AX613" s="18"/>
      <c r="AY613" s="18"/>
      <c r="AZ613" s="18"/>
      <c r="BA613" s="18"/>
      <c r="BB613" s="18"/>
      <c r="BC613" s="18"/>
      <c r="BD613" s="18"/>
    </row>
    <row r="614" spans="39:56" ht="23.25" customHeight="1">
      <c r="AM614" s="666"/>
      <c r="AN614" s="666" t="s">
        <v>80</v>
      </c>
      <c r="AO614" s="666"/>
      <c r="AP614" s="666"/>
      <c r="AQ614" s="816">
        <f>+AR578</f>
        <v>7649</v>
      </c>
      <c r="AR614" s="760" t="s">
        <v>81</v>
      </c>
      <c r="AS614" s="760"/>
      <c r="AT614" s="819">
        <f>ABS(AT578)</f>
        <v>2084</v>
      </c>
      <c r="AU614" s="666" t="s">
        <v>82</v>
      </c>
      <c r="AV614" s="18"/>
      <c r="AW614" s="18"/>
      <c r="AX614" s="18"/>
      <c r="AY614" s="18"/>
      <c r="AZ614" s="18"/>
      <c r="BA614" s="18"/>
      <c r="BB614" s="18"/>
      <c r="BC614" s="18"/>
      <c r="BD614" s="18"/>
    </row>
    <row r="615" spans="39:56" ht="23.25" customHeight="1">
      <c r="AM615" s="228" t="str">
        <f>IF(AT578&gt;=0,"повече    от","по-малко    от")</f>
        <v>повече    от</v>
      </c>
      <c r="AN615" s="666"/>
      <c r="AO615" s="666" t="s">
        <v>83</v>
      </c>
      <c r="AP615" s="666"/>
      <c r="AQ615" s="667"/>
      <c r="AR615" s="129"/>
      <c r="AS615" s="666"/>
      <c r="AT615" s="666"/>
      <c r="AU615" s="666"/>
      <c r="AV615" s="62">
        <f>+' -'!$C$12</f>
      </c>
      <c r="AW615" s="18"/>
      <c r="AX615" s="18"/>
      <c r="AY615" s="18"/>
      <c r="AZ615" s="18"/>
      <c r="BA615" s="18"/>
      <c r="BB615" s="18"/>
      <c r="BC615" s="18"/>
      <c r="BD615" s="18"/>
    </row>
    <row r="616" spans="39:56" ht="23.25" customHeight="1">
      <c r="AM616" s="760" t="s">
        <v>84</v>
      </c>
      <c r="AN616" s="760"/>
      <c r="AO616" s="760"/>
      <c r="AP616" s="760"/>
      <c r="AQ616" s="760"/>
      <c r="AR616" s="760"/>
      <c r="AS616" s="760"/>
      <c r="AT616" s="760"/>
      <c r="AU616" s="760"/>
      <c r="AV616" s="18"/>
      <c r="AW616" s="18"/>
      <c r="AX616" s="18"/>
      <c r="AY616" s="18"/>
      <c r="AZ616" s="18"/>
      <c r="BA616" s="18"/>
      <c r="BB616" s="18"/>
      <c r="BC616" s="18"/>
      <c r="BD616" s="18"/>
    </row>
    <row r="617" spans="39:56" ht="23.25" customHeight="1">
      <c r="AM617" s="760"/>
      <c r="AN617" s="760"/>
      <c r="AO617" s="760"/>
      <c r="AP617" s="760"/>
      <c r="AQ617" s="760"/>
      <c r="AR617" s="822" t="s">
        <v>85</v>
      </c>
      <c r="AS617" s="816" t="s">
        <v>1615</v>
      </c>
      <c r="AT617" s="760"/>
      <c r="AU617" s="760"/>
      <c r="AV617" s="18"/>
      <c r="AW617" s="18"/>
      <c r="AX617" s="18"/>
      <c r="AY617" s="18"/>
      <c r="AZ617" s="18"/>
      <c r="BA617" s="18"/>
      <c r="BB617" s="18"/>
      <c r="BC617" s="18"/>
      <c r="BD617" s="18"/>
    </row>
    <row r="618" spans="39:56" ht="23.25" customHeight="1">
      <c r="AM618" s="666"/>
      <c r="AN618" s="666"/>
      <c r="AO618" s="666"/>
      <c r="AP618" s="666"/>
      <c r="AQ618" s="667" t="s">
        <v>86</v>
      </c>
      <c r="AR618" s="667">
        <f>+AR573</f>
        <v>5845</v>
      </c>
      <c r="AS618" s="129">
        <f>+AR618/$AQ$614</f>
        <v>0.7641521767551314</v>
      </c>
      <c r="AT618" s="666"/>
      <c r="AU618" s="666"/>
      <c r="AV618" s="18"/>
      <c r="AW618" s="18"/>
      <c r="AX618" s="18"/>
      <c r="AY618" s="18"/>
      <c r="AZ618" s="18"/>
      <c r="BA618" s="18"/>
      <c r="BB618" s="18"/>
      <c r="BC618" s="18"/>
      <c r="BD618" s="18"/>
    </row>
    <row r="619" spans="39:56" ht="23.25" customHeight="1">
      <c r="AM619" s="666"/>
      <c r="AN619" s="666"/>
      <c r="AO619" s="666"/>
      <c r="AP619" s="666"/>
      <c r="AQ619" s="667" t="s">
        <v>87</v>
      </c>
      <c r="AR619" s="667">
        <f>D166</f>
        <v>1804</v>
      </c>
      <c r="AS619" s="129">
        <f>+AR619/$AQ$614</f>
        <v>0.2358478232448686</v>
      </c>
      <c r="AT619" s="666"/>
      <c r="AU619" s="666"/>
      <c r="AV619" s="18"/>
      <c r="AW619" s="18"/>
      <c r="AX619" s="18"/>
      <c r="AY619" s="18"/>
      <c r="AZ619" s="18"/>
      <c r="BA619" s="18"/>
      <c r="BB619" s="18"/>
      <c r="BC619" s="18"/>
      <c r="BD619" s="18"/>
    </row>
    <row r="620" spans="39:56" ht="23.25" customHeight="1">
      <c r="AM620" s="666"/>
      <c r="AN620" s="666" t="s">
        <v>88</v>
      </c>
      <c r="AO620" s="666"/>
      <c r="AP620" s="666"/>
      <c r="AQ620" s="666"/>
      <c r="AR620" s="823">
        <f>+AR588</f>
        <v>1.809386847953981</v>
      </c>
      <c r="AS620" s="228" t="s">
        <v>1721</v>
      </c>
      <c r="AT620" s="666"/>
      <c r="AU620" s="760"/>
      <c r="AV620" s="18"/>
      <c r="AW620" s="18"/>
      <c r="AX620" s="18"/>
      <c r="AY620" s="18"/>
      <c r="AZ620" s="18"/>
      <c r="BA620" s="18"/>
      <c r="BB620" s="18"/>
      <c r="BC620" s="18"/>
      <c r="BD620" s="18"/>
    </row>
    <row r="621" spans="39:56" ht="23.25" customHeight="1">
      <c r="AM621" s="666" t="s">
        <v>1722</v>
      </c>
      <c r="AN621" s="823">
        <f>ABS(AT588)</f>
        <v>0.6617721816956148</v>
      </c>
      <c r="AO621" s="228" t="s">
        <v>1723</v>
      </c>
      <c r="AP621" s="820">
        <f>ABS(AU588)</f>
        <v>0.2677982977847656</v>
      </c>
      <c r="AQ621" s="816" t="str">
        <f>IF(AT588&gt;=0,"повече","по-малко")</f>
        <v>по-малко</v>
      </c>
      <c r="AR621" s="666" t="s">
        <v>1724</v>
      </c>
      <c r="AS621" s="666"/>
      <c r="AT621" s="666"/>
      <c r="AU621" s="666"/>
      <c r="AV621" s="18"/>
      <c r="AW621" s="18"/>
      <c r="AX621" s="18"/>
      <c r="AY621" s="18"/>
      <c r="AZ621" s="18"/>
      <c r="BA621" s="18"/>
      <c r="BB621" s="18"/>
      <c r="BC621" s="18"/>
      <c r="BD621" s="18"/>
    </row>
    <row r="622" spans="39:48" ht="23.25" customHeight="1">
      <c r="AM622" s="666"/>
      <c r="AN622" s="666" t="s">
        <v>1725</v>
      </c>
      <c r="AO622" s="666"/>
      <c r="AP622" s="666"/>
      <c r="AQ622" s="666"/>
      <c r="AR622" s="818" t="str">
        <f>IF(AT588&gt;=0,"подобряване","влошаване")</f>
        <v>влошаване</v>
      </c>
      <c r="AS622" s="818"/>
      <c r="AT622" s="666" t="s">
        <v>1726</v>
      </c>
      <c r="AU622" s="666"/>
      <c r="AV622" s="18"/>
    </row>
    <row r="623" spans="39:57" ht="23.25" customHeight="1">
      <c r="AM623" s="666" t="s">
        <v>1730</v>
      </c>
      <c r="AN623" s="666"/>
      <c r="AO623" s="666"/>
      <c r="AP623" s="666"/>
      <c r="AQ623" s="666"/>
      <c r="AR623" s="666"/>
      <c r="AS623" s="666"/>
      <c r="AT623" s="666"/>
      <c r="AU623" s="666"/>
      <c r="AV623" s="62">
        <f>+' -'!$B$11</f>
      </c>
      <c r="AW623" s="18"/>
      <c r="AX623" s="18"/>
      <c r="AY623" s="18"/>
      <c r="AZ623" s="18"/>
      <c r="BA623" s="74" t="s">
        <v>1727</v>
      </c>
      <c r="BB623" s="74" t="s">
        <v>2018</v>
      </c>
      <c r="BC623" s="74" t="s">
        <v>1728</v>
      </c>
      <c r="BD623" s="74" t="s">
        <v>1729</v>
      </c>
      <c r="BE623" s="74" t="s">
        <v>1615</v>
      </c>
    </row>
    <row r="624" spans="39:57" ht="23.25" customHeight="1">
      <c r="AM624" s="666"/>
      <c r="AN624" s="666"/>
      <c r="AO624" s="666"/>
      <c r="AP624" s="666"/>
      <c r="AQ624" s="666"/>
      <c r="AR624" s="666"/>
      <c r="AS624" s="822" t="s">
        <v>2138</v>
      </c>
      <c r="AT624" s="667" t="s">
        <v>2139</v>
      </c>
      <c r="AU624" s="666"/>
      <c r="AV624" s="18"/>
      <c r="AW624" s="18"/>
      <c r="AX624" s="18"/>
      <c r="AY624" s="18"/>
      <c r="AZ624" s="18"/>
      <c r="BA624" s="74" t="s">
        <v>2137</v>
      </c>
      <c r="BB624" s="74" t="s">
        <v>2137</v>
      </c>
      <c r="BC624" s="18"/>
      <c r="BD624" s="18"/>
      <c r="BE624" s="18"/>
    </row>
    <row r="625" spans="39:57" ht="23.25" customHeight="1">
      <c r="AM625" s="816">
        <v>1</v>
      </c>
      <c r="AN625" s="760" t="str">
        <f>IF(AT567&gt;=0,"Увеличаване  на","Намаляване  на")</f>
        <v>Увеличаване  на</v>
      </c>
      <c r="AO625" s="760"/>
      <c r="AP625" s="228" t="s">
        <v>2404</v>
      </c>
      <c r="AQ625" s="608"/>
      <c r="AR625" s="608"/>
      <c r="AS625" s="824">
        <f aca="true" t="shared" si="7" ref="AS625:AT628">+BD625</f>
        <v>0</v>
      </c>
      <c r="AT625" s="825">
        <f t="shared" si="7"/>
        <v>0</v>
      </c>
      <c r="AU625" s="666"/>
      <c r="AV625" s="18"/>
      <c r="AW625" s="67" t="s">
        <v>2404</v>
      </c>
      <c r="AX625" s="68"/>
      <c r="AY625" s="68"/>
      <c r="AZ625" s="67"/>
      <c r="BA625" s="18">
        <f>+AS567</f>
        <v>10017</v>
      </c>
      <c r="BB625" s="18">
        <f>+AR567</f>
        <v>10017</v>
      </c>
      <c r="BC625" s="18">
        <f>+AT567</f>
        <v>0</v>
      </c>
      <c r="BD625" s="79">
        <f>BC625/$BA$634</f>
        <v>0</v>
      </c>
      <c r="BE625" s="77">
        <f>BD625/$BA$636</f>
        <v>0</v>
      </c>
    </row>
    <row r="626" spans="39:57" ht="23.25" customHeight="1">
      <c r="AM626" s="816">
        <v>2</v>
      </c>
      <c r="AN626" s="760" t="str">
        <f>IF(AT568&gt;=0,"Увеличаване  на","Намаляване  на")</f>
        <v>Увеличаване  на</v>
      </c>
      <c r="AO626" s="760"/>
      <c r="AP626" s="228" t="s">
        <v>470</v>
      </c>
      <c r="AQ626" s="608"/>
      <c r="AR626" s="608"/>
      <c r="AS626" s="824">
        <f t="shared" si="7"/>
        <v>0.07367475292003593</v>
      </c>
      <c r="AT626" s="825">
        <f t="shared" si="7"/>
        <v>0.029813845258871433</v>
      </c>
      <c r="AU626" s="666"/>
      <c r="AV626" s="18"/>
      <c r="AW626" s="67" t="s">
        <v>470</v>
      </c>
      <c r="AX626" s="67"/>
      <c r="AY626" s="67"/>
      <c r="AZ626" s="67"/>
      <c r="BA626" s="18">
        <f>+AS568</f>
        <v>3310</v>
      </c>
      <c r="BB626" s="18">
        <f>+AR568</f>
        <v>3720</v>
      </c>
      <c r="BC626" s="18">
        <f>+AT568</f>
        <v>410</v>
      </c>
      <c r="BD626" s="79">
        <f>BC626/$BA$634</f>
        <v>0.07367475292003593</v>
      </c>
      <c r="BE626" s="77">
        <f>BD626/$BA$636</f>
        <v>0.029813845258871433</v>
      </c>
    </row>
    <row r="627" spans="39:57" ht="23.25" customHeight="1">
      <c r="AM627" s="816">
        <v>3</v>
      </c>
      <c r="AN627" s="760" t="str">
        <f>IF(AT569&gt;=0,"Увеличаване  на","Намаляване  на")</f>
        <v>Увеличаване  на</v>
      </c>
      <c r="AO627" s="760"/>
      <c r="AP627" s="228" t="s">
        <v>76</v>
      </c>
      <c r="AQ627" s="608"/>
      <c r="AR627" s="608"/>
      <c r="AS627" s="824">
        <f t="shared" si="7"/>
        <v>0</v>
      </c>
      <c r="AT627" s="825">
        <f t="shared" si="7"/>
        <v>0</v>
      </c>
      <c r="AU627" s="666"/>
      <c r="AV627" s="18"/>
      <c r="AW627" s="67" t="s">
        <v>76</v>
      </c>
      <c r="AX627" s="67"/>
      <c r="AY627" s="67"/>
      <c r="AZ627" s="67"/>
      <c r="BA627" s="18">
        <f>+AS569</f>
        <v>0</v>
      </c>
      <c r="BB627" s="18">
        <f>+AR569</f>
        <v>0</v>
      </c>
      <c r="BC627" s="18">
        <f>+AT569</f>
        <v>0</v>
      </c>
      <c r="BD627" s="79">
        <f>BC627/$BA$634</f>
        <v>0</v>
      </c>
      <c r="BE627" s="77">
        <f>BD627/$BA$636</f>
        <v>0</v>
      </c>
    </row>
    <row r="628" spans="39:57" ht="23.25" customHeight="1">
      <c r="AM628" s="816">
        <v>4</v>
      </c>
      <c r="AN628" s="760" t="str">
        <f>IF(AT570&gt;=0,"Увеличаване  на","Намаляване  на")</f>
        <v>Намаляване  на</v>
      </c>
      <c r="AO628" s="760"/>
      <c r="AP628" s="228" t="s">
        <v>2226</v>
      </c>
      <c r="AQ628" s="608"/>
      <c r="AR628" s="608"/>
      <c r="AS628" s="824">
        <f t="shared" si="7"/>
        <v>-0.05786163522012579</v>
      </c>
      <c r="AT628" s="825">
        <f t="shared" si="7"/>
        <v>-0.023414776032577078</v>
      </c>
      <c r="AU628" s="666"/>
      <c r="AV628" s="18"/>
      <c r="AW628" s="68" t="s">
        <v>2140</v>
      </c>
      <c r="AX628" s="67"/>
      <c r="AY628" s="67"/>
      <c r="AZ628" s="67"/>
      <c r="BA628" s="18">
        <f>+AS570</f>
        <v>425</v>
      </c>
      <c r="BB628" s="18">
        <f>+AR570</f>
        <v>103</v>
      </c>
      <c r="BC628" s="18">
        <f>+AT570</f>
        <v>-322</v>
      </c>
      <c r="BD628" s="79">
        <f>BC628/$BA$634</f>
        <v>-0.05786163522012579</v>
      </c>
      <c r="BE628" s="77">
        <f>BD628/$BA$636</f>
        <v>-0.023414776032577078</v>
      </c>
    </row>
    <row r="629" spans="39:57" ht="23.25" customHeight="1">
      <c r="AM629" s="816">
        <v>5</v>
      </c>
      <c r="AN629" s="760" t="str">
        <f>IF(AT573&gt;=0,"Увеличаване  на","Намаляване  на")</f>
        <v>Увеличаване  на</v>
      </c>
      <c r="AO629" s="760"/>
      <c r="AP629" s="228" t="s">
        <v>2228</v>
      </c>
      <c r="AQ629" s="608"/>
      <c r="AR629" s="608"/>
      <c r="AS629" s="826">
        <f>+BD631</f>
        <v>-0.7695990420677579</v>
      </c>
      <c r="AT629" s="825">
        <f>+BE631</f>
        <v>-0.3114324221282048</v>
      </c>
      <c r="AU629" s="666"/>
      <c r="AV629" s="18"/>
      <c r="AW629" s="67"/>
      <c r="AX629" s="67"/>
      <c r="AY629" s="67"/>
      <c r="AZ629" s="20" t="s">
        <v>2227</v>
      </c>
      <c r="BA629" s="18">
        <f>+AS571</f>
        <v>13752</v>
      </c>
      <c r="BB629" s="18">
        <f>+AR571</f>
        <v>13840</v>
      </c>
      <c r="BC629" s="18">
        <f>+AT571</f>
        <v>88</v>
      </c>
      <c r="BD629" s="79">
        <f>SUM(BD625:BD628)</f>
        <v>0.015813117699910145</v>
      </c>
      <c r="BE629" s="77">
        <f>SUM(BE625:BE628)</f>
        <v>0.006399069226294355</v>
      </c>
    </row>
    <row r="630" spans="39:57" ht="23.25" customHeight="1">
      <c r="AM630" s="816">
        <v>6</v>
      </c>
      <c r="AN630" s="760" t="str">
        <f>IF(AT576&gt;=0,"Увеличаване  на","Намаляване  на")</f>
        <v>Намаляване  на</v>
      </c>
      <c r="AO630" s="760"/>
      <c r="AP630" s="228" t="s">
        <v>2229</v>
      </c>
      <c r="AQ630" s="608"/>
      <c r="AR630" s="608"/>
      <c r="AS630" s="126">
        <f>+BD633</f>
        <v>0.09201374267223299</v>
      </c>
      <c r="AT630" s="827">
        <f>+BE633</f>
        <v>0.037235055117144894</v>
      </c>
      <c r="AU630" s="666"/>
      <c r="AV630" s="18"/>
      <c r="AW630" s="67"/>
      <c r="AX630" s="67"/>
      <c r="AY630" s="67"/>
      <c r="AZ630" s="67"/>
      <c r="BA630" s="18"/>
      <c r="BB630" s="18"/>
      <c r="BC630" s="18"/>
      <c r="BD630" s="18"/>
      <c r="BE630" s="18"/>
    </row>
    <row r="631" spans="39:57" ht="23.25" customHeight="1">
      <c r="AM631" s="666"/>
      <c r="AN631" s="666"/>
      <c r="AO631" s="666"/>
      <c r="AP631" s="820"/>
      <c r="AQ631" s="666"/>
      <c r="AR631" s="667" t="s">
        <v>2230</v>
      </c>
      <c r="AS631" s="128">
        <f>+AT588</f>
        <v>-0.6617721816956148</v>
      </c>
      <c r="AT631" s="125">
        <f>+AU588</f>
        <v>-0.2677982977847656</v>
      </c>
      <c r="AU631" s="666"/>
      <c r="AV631" s="18"/>
      <c r="AW631" s="67" t="s">
        <v>27</v>
      </c>
      <c r="AX631" s="67"/>
      <c r="AY631" s="67"/>
      <c r="AZ631" s="67"/>
      <c r="BA631" s="18">
        <f>+AS573</f>
        <v>3478</v>
      </c>
      <c r="BB631" s="18">
        <f>+AR573</f>
        <v>5845</v>
      </c>
      <c r="BC631" s="18">
        <f>BB631-BA631</f>
        <v>2367</v>
      </c>
      <c r="BD631" s="79">
        <f>IF(BC631=0,0,$BD$634*BC631/$BC$634)</f>
        <v>-0.7695990420677579</v>
      </c>
      <c r="BE631" s="77">
        <f>BD631/$BA$636</f>
        <v>-0.3114324221282048</v>
      </c>
    </row>
    <row r="632" spans="39:48" ht="8.25" customHeight="1">
      <c r="AM632" s="666"/>
      <c r="AN632" s="666"/>
      <c r="AO632" s="666"/>
      <c r="AP632" s="820"/>
      <c r="AQ632" s="760"/>
      <c r="AR632" s="666"/>
      <c r="AS632" s="666"/>
      <c r="AT632" s="666"/>
      <c r="AU632" s="666"/>
      <c r="AV632" s="18"/>
    </row>
    <row r="633" spans="39:57" ht="18.75" customHeight="1">
      <c r="AM633" s="666"/>
      <c r="AN633" s="666" t="str">
        <f>IF(AR573=0,"     През анализирания период фирмата няма дългосрочни пасиви.","           Един   лев    от    дългосрочните   пасиви   се   покрива   с")</f>
        <v>           Един   лев    от    дългосрочните   пасиви   се   покрива   с</v>
      </c>
      <c r="AO633" s="666"/>
      <c r="AP633" s="666"/>
      <c r="AQ633" s="666"/>
      <c r="AR633" s="666"/>
      <c r="AS633" s="823"/>
      <c r="AT633" s="823">
        <f>IF(AR573=0,"",AR595)</f>
        <v>2.367835757057314</v>
      </c>
      <c r="AU633" s="666" t="str">
        <f>IF(AR573=0,"","лева соб-")</f>
        <v>лева соб-</v>
      </c>
      <c r="AV633" s="18"/>
      <c r="AW633" s="67" t="s">
        <v>2231</v>
      </c>
      <c r="AX633" s="67"/>
      <c r="AY633" s="67"/>
      <c r="AZ633" s="67"/>
      <c r="BA633" s="18">
        <f>+AS578-AS573</f>
        <v>2087</v>
      </c>
      <c r="BB633" s="18">
        <f>+AR578-AR573</f>
        <v>1804</v>
      </c>
      <c r="BC633" s="18">
        <f>BB633-BA633</f>
        <v>-283</v>
      </c>
      <c r="BD633" s="79">
        <f>IF(BC633=0,0,$BD$634*BC633/$BC$634)</f>
        <v>0.09201374267223299</v>
      </c>
      <c r="BE633" s="77">
        <f>BD633/$BA$636</f>
        <v>0.037235055117144894</v>
      </c>
    </row>
    <row r="634" spans="39:57" ht="18.75" customHeight="1">
      <c r="AM634" s="666" t="str">
        <f>IF(AR573=0,"","ствен  капитал,  което  е  с")</f>
        <v>ствен  капитал,  което  е  с</v>
      </c>
      <c r="AN634" s="666"/>
      <c r="AO634" s="666"/>
      <c r="AP634" s="823">
        <f>IF(AR573=0,"",ABS(AT595))</f>
        <v>1.5861607926839163</v>
      </c>
      <c r="AQ634" s="666" t="str">
        <f>IF(AR573=0,"","лева   или")</f>
        <v>лева   или</v>
      </c>
      <c r="AR634" s="820">
        <f>IF(AR573=0,"",ABS(AU595))</f>
        <v>0.4011538130420783</v>
      </c>
      <c r="AS634" s="760" t="str">
        <f>IF(AR573=0,"",IF(AT595&gt;=0,"повече","по-малко"))</f>
        <v>по-малко</v>
      </c>
      <c r="AT634" s="666" t="str">
        <f>IF(AR573=0,"","  от    предходната")</f>
        <v>  от    предходната</v>
      </c>
      <c r="AU634" s="666"/>
      <c r="AV634" s="18"/>
      <c r="AW634" s="18"/>
      <c r="AX634" s="18"/>
      <c r="AY634" s="18"/>
      <c r="AZ634" s="20" t="s">
        <v>2232</v>
      </c>
      <c r="BA634" s="18">
        <f>BA631+BA633</f>
        <v>5565</v>
      </c>
      <c r="BB634" s="18">
        <f>BB631+BB633</f>
        <v>7649</v>
      </c>
      <c r="BC634" s="18">
        <f>BC631+BC633</f>
        <v>2084</v>
      </c>
      <c r="BD634" s="79">
        <f>BC636-BD629</f>
        <v>-0.6775852993955249</v>
      </c>
      <c r="BE634" s="119">
        <f>SUM(BE631:BE633)</f>
        <v>-0.2741973670110599</v>
      </c>
    </row>
    <row r="635" spans="39:57" ht="18.75" customHeight="1">
      <c r="AM635" s="666" t="str">
        <f>IF(AR573=0,"","година.")</f>
        <v>година.</v>
      </c>
      <c r="AN635" s="666"/>
      <c r="AO635" s="666"/>
      <c r="AP635" s="823"/>
      <c r="AQ635" s="666"/>
      <c r="AR635" s="820"/>
      <c r="AS635" s="760"/>
      <c r="AT635" s="666"/>
      <c r="AU635" s="666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</row>
    <row r="636" spans="39:57" ht="18.75" customHeight="1">
      <c r="AM636" s="666"/>
      <c r="AN636" s="666" t="s">
        <v>2233</v>
      </c>
      <c r="AO636" s="666"/>
      <c r="AP636" s="666"/>
      <c r="AQ636" s="666"/>
      <c r="AR636" s="666"/>
      <c r="AS636" s="666"/>
      <c r="AT636" s="666"/>
      <c r="AU636" s="823">
        <f>+AR593</f>
        <v>15.853947368421053</v>
      </c>
      <c r="AV636" s="18"/>
      <c r="AW636" s="18"/>
      <c r="AX636" s="18"/>
      <c r="AY636" s="18"/>
      <c r="AZ636" s="18"/>
      <c r="BA636" s="79">
        <f>BA629/BA634</f>
        <v>2.4711590296495958</v>
      </c>
      <c r="BB636" s="79">
        <f>BB629/BB634</f>
        <v>1.809386847953981</v>
      </c>
      <c r="BC636" s="79">
        <f>BB636-BA636</f>
        <v>-0.6617721816956148</v>
      </c>
      <c r="BD636" s="79">
        <f>+BD629+BD634</f>
        <v>-0.6617721816956148</v>
      </c>
      <c r="BE636" s="119">
        <f>+BE629+BE634</f>
        <v>-0.26779829778476555</v>
      </c>
    </row>
    <row r="637" spans="39:56" ht="18.75" customHeight="1">
      <c r="AM637" s="666" t="s">
        <v>2234</v>
      </c>
      <c r="AN637" s="666"/>
      <c r="AO637" s="666"/>
      <c r="AP637" s="666"/>
      <c r="AQ637" s="666"/>
      <c r="AR637" s="823">
        <f>ABS(AT593)</f>
        <v>4.32752460419341</v>
      </c>
      <c r="AS637" s="666" t="s">
        <v>2235</v>
      </c>
      <c r="AT637" s="820">
        <f>ABS(AU593)</f>
        <v>0.3754438556274304</v>
      </c>
      <c r="AU637" s="228" t="str">
        <f>IF(AT593&gt;=0,"   повече","по-малко")</f>
        <v>   повече</v>
      </c>
      <c r="AV637" s="18"/>
      <c r="AW637" s="18"/>
      <c r="AX637" s="18"/>
      <c r="AY637" s="18"/>
      <c r="AZ637" s="18"/>
      <c r="BA637" s="61" t="e">
        <f>IF(#REF!=BL53,1,0)</f>
        <v>#REF!</v>
      </c>
      <c r="BB637" s="18"/>
      <c r="BC637" s="18"/>
      <c r="BD637" s="18"/>
    </row>
    <row r="638" spans="39:56" ht="18.75" customHeight="1">
      <c r="AM638" s="666" t="s">
        <v>2236</v>
      </c>
      <c r="AN638" s="666"/>
      <c r="AO638" s="666"/>
      <c r="AP638" s="666"/>
      <c r="AQ638" s="666"/>
      <c r="AR638" s="666"/>
      <c r="AS638" s="666"/>
      <c r="AT638" s="666"/>
      <c r="AU638" s="666"/>
      <c r="AV638" s="62">
        <f>+' -'!$C$12</f>
      </c>
      <c r="AW638" s="18"/>
      <c r="AX638" s="18"/>
      <c r="AY638" s="18"/>
      <c r="AZ638" s="18"/>
      <c r="BA638" s="18"/>
      <c r="BB638" s="18"/>
      <c r="BC638" s="18"/>
      <c r="BD638" s="18"/>
    </row>
    <row r="639" spans="39:56" ht="18.75" customHeight="1">
      <c r="AM639" s="666"/>
      <c r="AN639" s="666" t="s">
        <v>1241</v>
      </c>
      <c r="AO639" s="666"/>
      <c r="AP639" s="820"/>
      <c r="AQ639" s="760"/>
      <c r="AR639" s="666"/>
      <c r="AS639" s="666"/>
      <c r="AT639" s="666"/>
      <c r="AU639" s="666"/>
      <c r="AV639" s="18"/>
      <c r="AW639" s="18"/>
      <c r="AX639" s="18"/>
      <c r="AY639" s="18"/>
      <c r="AZ639" s="18"/>
      <c r="BA639" s="18"/>
      <c r="BB639" s="18"/>
      <c r="BC639" s="18"/>
      <c r="BD639" s="18"/>
    </row>
    <row r="640" spans="39:60" ht="18.75" customHeight="1">
      <c r="AM640" s="666" t="s">
        <v>1242</v>
      </c>
      <c r="AN640" s="666"/>
      <c r="AO640" s="823">
        <f>+AR597</f>
        <v>2.043407648014174</v>
      </c>
      <c r="AP640" s="228" t="s">
        <v>941</v>
      </c>
      <c r="AQ640" s="666"/>
      <c r="AR640" s="666"/>
      <c r="AS640" s="666"/>
      <c r="AT640" s="823">
        <f>ABS(AT597)</f>
        <v>0.07461738316091715</v>
      </c>
      <c r="AU640" s="666" t="s">
        <v>2235</v>
      </c>
      <c r="AV640" s="18"/>
      <c r="AW640" s="18"/>
      <c r="AX640" s="18"/>
      <c r="AY640" s="18"/>
      <c r="AZ640" s="18"/>
      <c r="BA640" s="18"/>
      <c r="BB640" s="18"/>
      <c r="BC640" s="18"/>
      <c r="BD640" s="18"/>
      <c r="BF640" s="600" t="str">
        <f>+' -'!$E$21</f>
        <v>Програмата за финансов анализ е лицензирана на:</v>
      </c>
      <c r="BG640" s="582"/>
      <c r="BH640" s="582"/>
    </row>
    <row r="641" spans="39:60" ht="18.75" customHeight="1">
      <c r="AM641" s="666" t="s">
        <v>942</v>
      </c>
      <c r="AN641" s="820">
        <f>ABS(AU597)</f>
        <v>0.0379001179013239</v>
      </c>
      <c r="AO641" s="760" t="str">
        <f>IF(AT597&gt;0,"повече","по-малко")</f>
        <v>повече</v>
      </c>
      <c r="AP641" s="666" t="s">
        <v>943</v>
      </c>
      <c r="AQ641" s="760"/>
      <c r="AR641" s="666"/>
      <c r="AS641" s="666"/>
      <c r="AT641" s="666"/>
      <c r="AU641" s="666"/>
      <c r="AV641" s="18"/>
      <c r="AW641" s="18"/>
      <c r="AX641" s="18"/>
      <c r="AY641" s="18"/>
      <c r="AZ641" s="18"/>
      <c r="BA641" s="18"/>
      <c r="BB641" s="18"/>
      <c r="BC641" s="18"/>
      <c r="BD641" s="18"/>
      <c r="BF641" s="601"/>
      <c r="BG641" s="10"/>
      <c r="BH641" s="10"/>
    </row>
    <row r="642" spans="39:60" ht="18.75" customHeight="1">
      <c r="AM642" s="666"/>
      <c r="AN642" s="666" t="s">
        <v>944</v>
      </c>
      <c r="AO642" s="666"/>
      <c r="AP642" s="666"/>
      <c r="AQ642" s="666"/>
      <c r="AR642" s="666"/>
      <c r="AS642" s="823">
        <f>+AR599</f>
        <v>1.5944700460829493</v>
      </c>
      <c r="AT642" s="228" t="s">
        <v>945</v>
      </c>
      <c r="AU642" s="666"/>
      <c r="AV642" s="18"/>
      <c r="AW642" s="18"/>
      <c r="AX642" s="18"/>
      <c r="AY642" s="18"/>
      <c r="AZ642" s="18"/>
      <c r="BA642" s="18"/>
      <c r="BB642" s="18"/>
      <c r="BC642" s="18"/>
      <c r="BD642" s="18"/>
      <c r="BF642" s="600" t="str">
        <f>+' -'!$E$22</f>
        <v>"В И Н З А В О Д"  А Д - гр. АСЕНОВГРАД</v>
      </c>
      <c r="BG642" s="580"/>
      <c r="BH642" s="580"/>
    </row>
    <row r="643" spans="39:56" ht="18.75" customHeight="1">
      <c r="AM643" s="666" t="s">
        <v>946</v>
      </c>
      <c r="AN643" s="666"/>
      <c r="AO643" s="666"/>
      <c r="AP643" s="823">
        <f>ABS(AT599)</f>
        <v>0.37263051177715667</v>
      </c>
      <c r="AQ643" s="666" t="s">
        <v>2235</v>
      </c>
      <c r="AR643" s="820">
        <f>ABS(AU599)</f>
        <v>0.1894313487372093</v>
      </c>
      <c r="AS643" s="760" t="str">
        <f>IF(AT599&gt;0,"повече","по-малко")</f>
        <v>по-малко</v>
      </c>
      <c r="AT643" s="666" t="s">
        <v>947</v>
      </c>
      <c r="AU643" s="666"/>
      <c r="AV643" s="18"/>
      <c r="AW643" s="18"/>
      <c r="AX643" s="18"/>
      <c r="AY643" s="18"/>
      <c r="AZ643" s="18"/>
      <c r="BA643" s="18"/>
      <c r="BB643" s="18"/>
      <c r="BC643" s="18"/>
      <c r="BD643" s="18"/>
    </row>
    <row r="644" spans="39:56" ht="18.75" customHeight="1">
      <c r="AM644" s="666" t="s">
        <v>948</v>
      </c>
      <c r="AN644" s="666"/>
      <c r="AO644" s="666"/>
      <c r="AP644" s="820"/>
      <c r="AQ644" s="760"/>
      <c r="AR644" s="666"/>
      <c r="AS644" s="666"/>
      <c r="AT644" s="666"/>
      <c r="AU644" s="666"/>
      <c r="AV644" s="18"/>
      <c r="AW644" s="18"/>
      <c r="AX644" s="18"/>
      <c r="AY644" s="18"/>
      <c r="AZ644" s="18"/>
      <c r="BA644" s="18"/>
      <c r="BB644" s="18"/>
      <c r="BC644" s="18"/>
      <c r="BD644" s="18"/>
    </row>
    <row r="645" spans="39:56" ht="18.75" customHeight="1">
      <c r="AM645" s="666"/>
      <c r="AN645" s="666" t="s">
        <v>949</v>
      </c>
      <c r="AO645" s="666"/>
      <c r="AP645" s="820"/>
      <c r="AQ645" s="760"/>
      <c r="AR645" s="666"/>
      <c r="AS645" s="760" t="str">
        <f>IF($AR$577&gt;0,"положителният","отрицателният")</f>
        <v>положителният</v>
      </c>
      <c r="AT645" s="760"/>
      <c r="AU645" s="816" t="s">
        <v>950</v>
      </c>
      <c r="AV645" s="18"/>
      <c r="AW645" s="18"/>
      <c r="AX645" s="18"/>
      <c r="AY645" s="18"/>
      <c r="AZ645" s="18"/>
      <c r="BA645" s="18"/>
      <c r="BB645" s="18"/>
      <c r="BC645" s="18"/>
      <c r="BD645" s="18"/>
    </row>
    <row r="646" spans="39:56" ht="18.75" customHeight="1">
      <c r="AM646" s="666" t="s">
        <v>1264</v>
      </c>
      <c r="AN646" s="666"/>
      <c r="AO646" s="666"/>
      <c r="AP646" s="820"/>
      <c r="AQ646" s="816">
        <f>ABS($AR$577)</f>
        <v>12049</v>
      </c>
      <c r="AR646" s="666" t="s">
        <v>953</v>
      </c>
      <c r="AS646" s="666"/>
      <c r="AT646" s="666"/>
      <c r="AU646" s="666"/>
      <c r="AV646" s="18"/>
      <c r="AW646" s="18"/>
      <c r="AX646" s="18"/>
      <c r="AY646" s="18"/>
      <c r="AZ646" s="18"/>
      <c r="BA646" s="18"/>
      <c r="BB646" s="18"/>
      <c r="BC646" s="18"/>
      <c r="BD646" s="18"/>
    </row>
    <row r="647" spans="39:56" ht="18.75" customHeight="1">
      <c r="AM647" s="666" t="s">
        <v>954</v>
      </c>
      <c r="AN647" s="666"/>
      <c r="AO647" s="666"/>
      <c r="AP647" s="820"/>
      <c r="AQ647" s="760"/>
      <c r="AR647" s="760" t="str">
        <f>IF($AR$577&gt;0,"са    повече    от","са   по-малко   от")</f>
        <v>са    повече    от</v>
      </c>
      <c r="AS647" s="760"/>
      <c r="AT647" s="666" t="s">
        <v>1134</v>
      </c>
      <c r="AU647" s="666"/>
      <c r="AV647" s="18"/>
      <c r="AW647" s="18"/>
      <c r="AX647" s="18"/>
      <c r="AY647" s="18"/>
      <c r="AZ647" s="18"/>
      <c r="BA647" s="18"/>
      <c r="BB647" s="18"/>
      <c r="BC647" s="18"/>
      <c r="BD647" s="18"/>
    </row>
    <row r="648" spans="39:56" ht="18.75" customHeight="1">
      <c r="AM648" s="666" t="s">
        <v>331</v>
      </c>
      <c r="AN648" s="666"/>
      <c r="AO648" s="666"/>
      <c r="AP648" s="820"/>
      <c r="AQ648" s="760"/>
      <c r="AR648" s="666"/>
      <c r="AS648" s="666"/>
      <c r="AT648" s="666"/>
      <c r="AU648" s="666"/>
      <c r="AV648" s="18"/>
      <c r="AW648" s="18"/>
      <c r="AX648" s="18"/>
      <c r="AY648" s="18"/>
      <c r="AZ648" s="18"/>
      <c r="BA648" s="18"/>
      <c r="BB648" s="18"/>
      <c r="BC648" s="18"/>
      <c r="BD648" s="18"/>
    </row>
    <row r="649" spans="39:56" ht="18.75" customHeight="1">
      <c r="AM649" s="666" t="s">
        <v>332</v>
      </c>
      <c r="AN649" s="816" t="str">
        <f>IF($AR$577&gt;=0,"добро","недобро")</f>
        <v>добро</v>
      </c>
      <c r="AO649" s="228" t="s">
        <v>2296</v>
      </c>
      <c r="AP649" s="666"/>
      <c r="AQ649" s="666"/>
      <c r="AR649" s="666"/>
      <c r="AS649" s="666"/>
      <c r="AT649" s="666"/>
      <c r="AU649" s="666"/>
      <c r="AV649" s="18"/>
      <c r="AW649" s="18"/>
      <c r="AX649" s="18"/>
      <c r="AY649" s="18"/>
      <c r="AZ649" s="18"/>
      <c r="BA649" s="18"/>
      <c r="BB649" s="18"/>
      <c r="BC649" s="18"/>
      <c r="BD649" s="18"/>
    </row>
    <row r="650" spans="39:56" ht="18.75" customHeight="1">
      <c r="AM650" s="666"/>
      <c r="AN650" s="666" t="str">
        <f>IF($AR$577&lt;0,"     В конкретния случай липсата  на  нетен оборотен (работен)  капитал  предполага:","     В  конкретния  случай   нетният  оборотен (работен)  капитал  предполага:")</f>
        <v>     В  конкретния  случай   нетният  оборотен (работен)  капитал  предполага:</v>
      </c>
      <c r="AO650" s="666"/>
      <c r="AP650" s="820"/>
      <c r="AQ650" s="760"/>
      <c r="AR650" s="666"/>
      <c r="AS650" s="666"/>
      <c r="AT650" s="666"/>
      <c r="AU650" s="666"/>
      <c r="AV650" s="18"/>
      <c r="AW650" s="18"/>
      <c r="AX650" s="18"/>
      <c r="AY650" s="18"/>
      <c r="AZ650" s="18"/>
      <c r="BA650" s="18"/>
      <c r="BB650" s="18"/>
      <c r="BC650" s="18"/>
      <c r="BD650" s="18"/>
    </row>
    <row r="651" spans="39:56" ht="18.75" customHeight="1">
      <c r="AM651" s="666"/>
      <c r="AN651" s="228" t="str">
        <f>IF($AR$577&gt;=0,"Доверие от страна на кредиторите ;","Недоверие от страна на кредиторите ;")</f>
        <v>Доверие от страна на кредиторите ;</v>
      </c>
      <c r="AO651" s="666"/>
      <c r="AP651" s="820"/>
      <c r="AQ651" s="760"/>
      <c r="AR651" s="666"/>
      <c r="AS651" s="760"/>
      <c r="AT651" s="666"/>
      <c r="AU651" s="666"/>
      <c r="AV651" s="18"/>
      <c r="AW651" s="18"/>
      <c r="AX651" s="18"/>
      <c r="AY651" s="18"/>
      <c r="AZ651" s="18"/>
      <c r="BA651" s="18"/>
      <c r="BB651" s="18"/>
      <c r="BC651" s="18"/>
      <c r="BD651" s="18"/>
    </row>
    <row r="652" spans="39:56" ht="18.75" customHeight="1">
      <c r="AM652" s="666"/>
      <c r="AN652" s="228" t="str">
        <f>IF($AR$577&gt;=0,"Стабилно финансово положение","Критично финансово положение")</f>
        <v>Стабилно финансово положение</v>
      </c>
      <c r="AO652" s="760"/>
      <c r="AP652" s="828"/>
      <c r="AQ652" s="228">
        <f>IF($AR$577&gt;=0,"",", което лесно може да доведе до фалит.")</f>
      </c>
      <c r="AR652" s="666"/>
      <c r="AS652" s="666"/>
      <c r="AT652" s="666"/>
      <c r="AU652" s="666"/>
      <c r="AV652" s="18"/>
      <c r="AW652" s="18"/>
      <c r="AX652" s="18"/>
      <c r="AY652" s="18"/>
      <c r="AZ652" s="18"/>
      <c r="BA652" s="18"/>
      <c r="BB652" s="18"/>
      <c r="BC652" s="18"/>
      <c r="BD652" s="18"/>
    </row>
    <row r="653" spans="39:48" ht="18.75" customHeight="1">
      <c r="AM653" s="608"/>
      <c r="AN653" s="608"/>
      <c r="AO653" s="608"/>
      <c r="AP653" s="608"/>
      <c r="AQ653" s="608"/>
      <c r="AR653" s="608"/>
      <c r="AS653" s="608"/>
      <c r="AT653" s="608"/>
      <c r="AU653" s="608"/>
      <c r="AV653" s="62">
        <f>+' -'!$B$11</f>
      </c>
    </row>
    <row r="654" spans="39:47" ht="18.75" customHeight="1">
      <c r="AM654" s="765" t="s">
        <v>868</v>
      </c>
      <c r="AN654" s="760"/>
      <c r="AO654" s="760"/>
      <c r="AP654" s="760"/>
      <c r="AQ654" s="760"/>
      <c r="AR654" s="760"/>
      <c r="AS654" s="760"/>
      <c r="AT654" s="760"/>
      <c r="AU654" s="608"/>
    </row>
    <row r="655" spans="39:47" ht="18.75" customHeight="1" thickBot="1">
      <c r="AM655" s="765" t="str">
        <f>AM513</f>
        <v>"В И Н З А В О Д"  А Д - гр. АСЕНОВГРАД</v>
      </c>
      <c r="AN655" s="760"/>
      <c r="AO655" s="760"/>
      <c r="AP655" s="760"/>
      <c r="AQ655" s="760"/>
      <c r="AR655" s="760"/>
      <c r="AS655" s="760"/>
      <c r="AT655" s="760"/>
      <c r="AU655" s="768" t="s">
        <v>1610</v>
      </c>
    </row>
    <row r="656" spans="39:47" ht="18.75" customHeight="1">
      <c r="AM656" s="1514" t="s">
        <v>2408</v>
      </c>
      <c r="AN656" s="1515"/>
      <c r="AO656" s="1516"/>
      <c r="AP656" s="829" t="str">
        <f>$P$275</f>
        <v>Текущ период</v>
      </c>
      <c r="AQ656" s="830"/>
      <c r="AR656" s="1508" t="str">
        <f>$S$275</f>
        <v>Предходен период</v>
      </c>
      <c r="AS656" s="1509"/>
      <c r="AT656" s="831" t="s">
        <v>1611</v>
      </c>
      <c r="AU656" s="832"/>
    </row>
    <row r="657" spans="39:47" ht="18.75" customHeight="1" thickBot="1">
      <c r="AM657" s="1517"/>
      <c r="AN657" s="1518"/>
      <c r="AO657" s="1519"/>
      <c r="AP657" s="835" t="s">
        <v>1614</v>
      </c>
      <c r="AQ657" s="836" t="s">
        <v>1615</v>
      </c>
      <c r="AR657" s="835" t="s">
        <v>1614</v>
      </c>
      <c r="AS657" s="836" t="s">
        <v>1615</v>
      </c>
      <c r="AT657" s="835" t="s">
        <v>1614</v>
      </c>
      <c r="AU657" s="837" t="s">
        <v>1615</v>
      </c>
    </row>
    <row r="658" spans="39:47" ht="18.75" customHeight="1">
      <c r="AM658" s="838" t="s">
        <v>2409</v>
      </c>
      <c r="AN658" s="839"/>
      <c r="AO658" s="839"/>
      <c r="AP658" s="840">
        <f>AP659+AP666</f>
        <v>21489</v>
      </c>
      <c r="AQ658" s="841">
        <f>AP658/$AP$658</f>
        <v>1</v>
      </c>
      <c r="AR658" s="842">
        <f>AR659+AR666</f>
        <v>19317</v>
      </c>
      <c r="AS658" s="841">
        <f>AR658/$AR$658</f>
        <v>1</v>
      </c>
      <c r="AT658" s="279">
        <f aca="true" t="shared" si="8" ref="AT658:AT671">AP658-AR658</f>
        <v>2172</v>
      </c>
      <c r="AU658" s="843">
        <f aca="true" t="shared" si="9" ref="AU658:AU671">AQ658-AS658</f>
        <v>0</v>
      </c>
    </row>
    <row r="659" spans="39:47" ht="18.75" customHeight="1">
      <c r="AM659" s="844" t="s">
        <v>2410</v>
      </c>
      <c r="AN659" s="789"/>
      <c r="AO659" s="789"/>
      <c r="AP659" s="791">
        <f>D58</f>
        <v>8680</v>
      </c>
      <c r="AQ659" s="845">
        <f aca="true" t="shared" si="10" ref="AQ659:AQ671">AP659/$AP$658</f>
        <v>0.4039275908604402</v>
      </c>
      <c r="AR659" s="97">
        <f>E58</f>
        <v>6991</v>
      </c>
      <c r="AS659" s="845">
        <f aca="true" t="shared" si="11" ref="AS659:AS671">AR659/$AR$658</f>
        <v>0.3619091991510069</v>
      </c>
      <c r="AT659" s="207">
        <f t="shared" si="8"/>
        <v>1689</v>
      </c>
      <c r="AU659" s="846">
        <f t="shared" si="9"/>
        <v>0.042018391709433334</v>
      </c>
    </row>
    <row r="660" spans="39:47" ht="18.75" customHeight="1">
      <c r="AM660" s="844" t="s">
        <v>964</v>
      </c>
      <c r="AN660" s="789"/>
      <c r="AO660" s="789"/>
      <c r="AP660" s="791">
        <f>D20</f>
        <v>6773</v>
      </c>
      <c r="AQ660" s="845">
        <f t="shared" si="10"/>
        <v>0.31518451300665457</v>
      </c>
      <c r="AR660" s="97">
        <f>E20</f>
        <v>6985</v>
      </c>
      <c r="AS660" s="845">
        <f t="shared" si="11"/>
        <v>0.36159859191385824</v>
      </c>
      <c r="AT660" s="207">
        <f t="shared" si="8"/>
        <v>-212</v>
      </c>
      <c r="AU660" s="846">
        <f t="shared" si="9"/>
        <v>-0.04641407890720367</v>
      </c>
    </row>
    <row r="661" spans="39:47" ht="18.75" customHeight="1">
      <c r="AM661" s="844" t="s">
        <v>965</v>
      </c>
      <c r="AN661" s="789"/>
      <c r="AO661" s="789"/>
      <c r="AP661" s="791">
        <f>D26</f>
        <v>1</v>
      </c>
      <c r="AQ661" s="845">
        <f t="shared" si="10"/>
        <v>4.653543673507376E-05</v>
      </c>
      <c r="AR661" s="97">
        <f>E26</f>
        <v>6</v>
      </c>
      <c r="AS661" s="845">
        <f t="shared" si="11"/>
        <v>0.00031060723714862557</v>
      </c>
      <c r="AT661" s="207">
        <f t="shared" si="8"/>
        <v>-5</v>
      </c>
      <c r="AU661" s="846">
        <f t="shared" si="9"/>
        <v>-0.0002640718004135518</v>
      </c>
    </row>
    <row r="662" spans="39:47" ht="18.75" customHeight="1">
      <c r="AM662" s="847" t="s">
        <v>966</v>
      </c>
      <c r="AN662" s="789"/>
      <c r="AO662" s="789"/>
      <c r="AP662" s="791">
        <f>D45</f>
        <v>1906</v>
      </c>
      <c r="AQ662" s="845">
        <f t="shared" si="10"/>
        <v>0.08869654241705058</v>
      </c>
      <c r="AR662" s="97">
        <f>E45</f>
        <v>0</v>
      </c>
      <c r="AS662" s="845">
        <f t="shared" si="11"/>
        <v>0</v>
      </c>
      <c r="AT662" s="207">
        <f t="shared" si="8"/>
        <v>1906</v>
      </c>
      <c r="AU662" s="846">
        <f t="shared" si="9"/>
        <v>0.08869654241705058</v>
      </c>
    </row>
    <row r="663" spans="39:47" ht="18.75" customHeight="1">
      <c r="AM663" s="844" t="s">
        <v>2333</v>
      </c>
      <c r="AN663" s="789"/>
      <c r="AO663" s="789"/>
      <c r="AP663" s="791">
        <f>D55</f>
        <v>0</v>
      </c>
      <c r="AQ663" s="845">
        <f t="shared" si="10"/>
        <v>0</v>
      </c>
      <c r="AR663" s="97">
        <f>E55</f>
        <v>0</v>
      </c>
      <c r="AS663" s="845">
        <f t="shared" si="11"/>
        <v>0</v>
      </c>
      <c r="AT663" s="207">
        <f t="shared" si="8"/>
        <v>0</v>
      </c>
      <c r="AU663" s="846">
        <f t="shared" si="9"/>
        <v>0</v>
      </c>
    </row>
    <row r="664" spans="39:47" ht="18.75" customHeight="1">
      <c r="AM664" s="848" t="s">
        <v>967</v>
      </c>
      <c r="AN664" s="789"/>
      <c r="AO664" s="789"/>
      <c r="AP664" s="791">
        <f>D56</f>
        <v>0</v>
      </c>
      <c r="AQ664" s="845">
        <f t="shared" si="10"/>
        <v>0</v>
      </c>
      <c r="AR664" s="97">
        <f>E56</f>
        <v>0</v>
      </c>
      <c r="AS664" s="845">
        <f t="shared" si="11"/>
        <v>0</v>
      </c>
      <c r="AT664" s="207">
        <f t="shared" si="8"/>
        <v>0</v>
      </c>
      <c r="AU664" s="846">
        <f t="shared" si="9"/>
        <v>0</v>
      </c>
    </row>
    <row r="665" spans="39:48" ht="18.75" customHeight="1">
      <c r="AM665" s="847" t="str">
        <f>B57</f>
        <v> Активи по отсрочени даници</v>
      </c>
      <c r="AN665" s="789"/>
      <c r="AO665" s="789"/>
      <c r="AP665" s="791">
        <f>D57</f>
        <v>0</v>
      </c>
      <c r="AQ665" s="845">
        <f t="shared" si="10"/>
        <v>0</v>
      </c>
      <c r="AR665" s="97">
        <f>E57</f>
        <v>0</v>
      </c>
      <c r="AS665" s="845">
        <f t="shared" si="11"/>
        <v>0</v>
      </c>
      <c r="AT665" s="207">
        <f>AP665-AR665</f>
        <v>0</v>
      </c>
      <c r="AU665" s="846">
        <f>AQ665-AS665</f>
        <v>0</v>
      </c>
      <c r="AV665" s="64"/>
    </row>
    <row r="666" spans="39:47" ht="18.75" customHeight="1">
      <c r="AM666" s="844" t="s">
        <v>2452</v>
      </c>
      <c r="AN666" s="789"/>
      <c r="AO666" s="789"/>
      <c r="AP666" s="791">
        <f>D97</f>
        <v>12809</v>
      </c>
      <c r="AQ666" s="845">
        <f t="shared" si="10"/>
        <v>0.5960724091395597</v>
      </c>
      <c r="AR666" s="97">
        <f>E97</f>
        <v>12326</v>
      </c>
      <c r="AS666" s="845">
        <f t="shared" si="11"/>
        <v>0.6380908008489932</v>
      </c>
      <c r="AT666" s="207">
        <f t="shared" si="8"/>
        <v>483</v>
      </c>
      <c r="AU666" s="846">
        <f t="shared" si="9"/>
        <v>-0.042018391709433445</v>
      </c>
    </row>
    <row r="667" spans="39:47" ht="18.75" customHeight="1">
      <c r="AM667" s="844" t="s">
        <v>739</v>
      </c>
      <c r="AN667" s="789"/>
      <c r="AO667" s="789"/>
      <c r="AP667" s="791">
        <f>D68</f>
        <v>7219</v>
      </c>
      <c r="AQ667" s="845">
        <f t="shared" si="10"/>
        <v>0.33593931779049746</v>
      </c>
      <c r="AR667" s="97">
        <f>E68</f>
        <v>6572</v>
      </c>
      <c r="AS667" s="845">
        <f t="shared" si="11"/>
        <v>0.3402184604234612</v>
      </c>
      <c r="AT667" s="207">
        <f t="shared" si="8"/>
        <v>647</v>
      </c>
      <c r="AU667" s="846">
        <f t="shared" si="9"/>
        <v>-0.0042791426329637505</v>
      </c>
    </row>
    <row r="668" spans="39:47" ht="18.75" customHeight="1">
      <c r="AM668" s="844" t="s">
        <v>66</v>
      </c>
      <c r="AN668" s="789"/>
      <c r="AO668" s="789"/>
      <c r="AP668" s="791">
        <f>D78</f>
        <v>5441</v>
      </c>
      <c r="AQ668" s="845">
        <f t="shared" si="10"/>
        <v>0.2531993112755363</v>
      </c>
      <c r="AR668" s="97">
        <f>E78</f>
        <v>5494</v>
      </c>
      <c r="AS668" s="845">
        <f t="shared" si="11"/>
        <v>0.2844126934824248</v>
      </c>
      <c r="AT668" s="207">
        <f t="shared" si="8"/>
        <v>-53</v>
      </c>
      <c r="AU668" s="846">
        <f t="shared" si="9"/>
        <v>-0.031213382206888518</v>
      </c>
    </row>
    <row r="669" spans="39:47" ht="18.75" customHeight="1">
      <c r="AM669" s="847" t="s">
        <v>970</v>
      </c>
      <c r="AN669" s="789"/>
      <c r="AO669" s="789"/>
      <c r="AP669" s="791">
        <f>D88</f>
        <v>0</v>
      </c>
      <c r="AQ669" s="845">
        <f t="shared" si="10"/>
        <v>0</v>
      </c>
      <c r="AR669" s="97">
        <f>E88</f>
        <v>0</v>
      </c>
      <c r="AS669" s="845">
        <f t="shared" si="11"/>
        <v>0</v>
      </c>
      <c r="AT669" s="207">
        <f t="shared" si="8"/>
        <v>0</v>
      </c>
      <c r="AU669" s="846">
        <f t="shared" si="9"/>
        <v>0</v>
      </c>
    </row>
    <row r="670" spans="39:47" ht="18.75" customHeight="1">
      <c r="AM670" s="849" t="s">
        <v>968</v>
      </c>
      <c r="AN670" s="792"/>
      <c r="AO670" s="793"/>
      <c r="AP670" s="791">
        <f>D95</f>
        <v>125</v>
      </c>
      <c r="AQ670" s="845">
        <f t="shared" si="10"/>
        <v>0.00581692959188422</v>
      </c>
      <c r="AR670" s="97">
        <f>E95</f>
        <v>239</v>
      </c>
      <c r="AS670" s="845">
        <f t="shared" si="11"/>
        <v>0.012372521613086919</v>
      </c>
      <c r="AT670" s="207">
        <f t="shared" si="8"/>
        <v>-114</v>
      </c>
      <c r="AU670" s="846">
        <f t="shared" si="9"/>
        <v>-0.006555592021202699</v>
      </c>
    </row>
    <row r="671" spans="39:47" ht="18.75" customHeight="1" thickBot="1">
      <c r="AM671" s="850" t="s">
        <v>969</v>
      </c>
      <c r="AN671" s="814"/>
      <c r="AO671" s="814"/>
      <c r="AP671" s="851">
        <f>D96</f>
        <v>24</v>
      </c>
      <c r="AQ671" s="852">
        <f t="shared" si="10"/>
        <v>0.0011168504816417703</v>
      </c>
      <c r="AR671" s="851">
        <f>E96</f>
        <v>21</v>
      </c>
      <c r="AS671" s="852">
        <f t="shared" si="11"/>
        <v>0.0010871253300201895</v>
      </c>
      <c r="AT671" s="212">
        <f t="shared" si="8"/>
        <v>3</v>
      </c>
      <c r="AU671" s="853">
        <f t="shared" si="9"/>
        <v>2.972515162158072E-05</v>
      </c>
    </row>
    <row r="672" spans="39:48" ht="9.75" customHeight="1">
      <c r="AM672" s="666"/>
      <c r="AN672" s="666"/>
      <c r="AO672" s="666"/>
      <c r="AP672" s="666"/>
      <c r="AQ672" s="666"/>
      <c r="AR672" s="666"/>
      <c r="AS672" s="666"/>
      <c r="AT672" s="666"/>
      <c r="AU672" s="666"/>
      <c r="AV672" s="62">
        <f>+' -'!$B$11</f>
      </c>
    </row>
    <row r="673" spans="39:47" ht="15.75" customHeight="1" thickBot="1">
      <c r="AM673" s="765" t="s">
        <v>2453</v>
      </c>
      <c r="AN673" s="854"/>
      <c r="AO673" s="854"/>
      <c r="AP673" s="854"/>
      <c r="AQ673" s="854"/>
      <c r="AR673" s="854"/>
      <c r="AS673" s="854"/>
      <c r="AT673" s="760"/>
      <c r="AU673" s="667" t="s">
        <v>1610</v>
      </c>
    </row>
    <row r="674" spans="39:47" ht="15.75" customHeight="1">
      <c r="AM674" s="769"/>
      <c r="AN674" s="770"/>
      <c r="AO674" s="771"/>
      <c r="AP674" s="771"/>
      <c r="AQ674" s="771"/>
      <c r="AR674" s="772" t="str">
        <f>$D$7</f>
        <v>Текуща</v>
      </c>
      <c r="AS674" s="773" t="str">
        <f>$E$7</f>
        <v>Предходна</v>
      </c>
      <c r="AT674" s="774" t="s">
        <v>1611</v>
      </c>
      <c r="AU674" s="855"/>
    </row>
    <row r="675" spans="39:47" ht="15.75" customHeight="1">
      <c r="AM675" s="776" t="s">
        <v>1612</v>
      </c>
      <c r="AN675" s="856" t="s">
        <v>1613</v>
      </c>
      <c r="AO675" s="778"/>
      <c r="AP675" s="778"/>
      <c r="AQ675" s="778"/>
      <c r="AR675" s="779" t="str">
        <f>$D$8</f>
        <v>година</v>
      </c>
      <c r="AS675" s="779" t="str">
        <f>$E$8</f>
        <v>година</v>
      </c>
      <c r="AT675" s="857"/>
      <c r="AU675" s="858"/>
    </row>
    <row r="676" spans="39:47" ht="15.75" customHeight="1" thickBot="1">
      <c r="AM676" s="782"/>
      <c r="AN676" s="783"/>
      <c r="AO676" s="784"/>
      <c r="AP676" s="784"/>
      <c r="AQ676" s="784"/>
      <c r="AR676" s="835" t="s">
        <v>1614</v>
      </c>
      <c r="AS676" s="835" t="s">
        <v>1614</v>
      </c>
      <c r="AT676" s="786" t="s">
        <v>1614</v>
      </c>
      <c r="AU676" s="787" t="s">
        <v>1615</v>
      </c>
    </row>
    <row r="677" spans="39:58" ht="15.75" customHeight="1">
      <c r="AM677" s="788" t="s">
        <v>1616</v>
      </c>
      <c r="AN677" s="789" t="s">
        <v>2385</v>
      </c>
      <c r="AO677" s="789"/>
      <c r="AP677" s="789"/>
      <c r="AQ677" s="789"/>
      <c r="AR677" s="93">
        <f>IF(' -'!$B$11="",$D$130,Анализ!$AS$681)</f>
        <v>13840</v>
      </c>
      <c r="AS677" s="93">
        <f>IF(' -'!$B$11="",$E$130,Анализ!$AR$681)</f>
        <v>13752</v>
      </c>
      <c r="AT677" s="96">
        <f aca="true" t="shared" si="12" ref="AT677:AT690">AR677-AS677</f>
        <v>88</v>
      </c>
      <c r="AU677" s="95">
        <f aca="true" t="shared" si="13" ref="AU677:AU690">IF(AND(AS677=0,AR677=0),0,IF(AS677&lt;&gt;0,AT677/ABS(AS677),IF(AS677=0,AT677/ABS(AR677),FLASE)))</f>
        <v>0.006399069226294357</v>
      </c>
      <c r="AV677" s="276"/>
      <c r="BF677" s="275" t="s">
        <v>1455</v>
      </c>
    </row>
    <row r="678" spans="39:47" ht="15.75" customHeight="1">
      <c r="AM678" s="805" t="s">
        <v>2455</v>
      </c>
      <c r="AN678" s="789" t="s">
        <v>2386</v>
      </c>
      <c r="AO678" s="789"/>
      <c r="AP678" s="789"/>
      <c r="AQ678" s="789"/>
      <c r="AR678" s="278">
        <f>$D$135+$D$137+$D$138</f>
        <v>5556</v>
      </c>
      <c r="AS678" s="278">
        <f>$E$135+$E$137+$E$138</f>
        <v>3203</v>
      </c>
      <c r="AT678" s="207">
        <f t="shared" si="12"/>
        <v>2353</v>
      </c>
      <c r="AU678" s="95">
        <f t="shared" si="13"/>
        <v>0.7346237901966906</v>
      </c>
    </row>
    <row r="679" spans="39:47" ht="15.75" customHeight="1">
      <c r="AM679" s="805" t="s">
        <v>819</v>
      </c>
      <c r="AN679" s="789" t="str">
        <f>$B$139</f>
        <v> Отсрочени данъци</v>
      </c>
      <c r="AO679" s="789"/>
      <c r="AP679" s="789"/>
      <c r="AQ679" s="789"/>
      <c r="AR679" s="278">
        <f>$D$139</f>
        <v>192</v>
      </c>
      <c r="AS679" s="278">
        <f>$E$139</f>
        <v>196</v>
      </c>
      <c r="AT679" s="207">
        <f t="shared" si="12"/>
        <v>-4</v>
      </c>
      <c r="AU679" s="95">
        <f t="shared" si="13"/>
        <v>-0.02040816326530612</v>
      </c>
    </row>
    <row r="680" spans="39:47" ht="15.75" customHeight="1">
      <c r="AM680" s="805">
        <v>4</v>
      </c>
      <c r="AN680" s="789" t="s">
        <v>250</v>
      </c>
      <c r="AO680" s="789"/>
      <c r="AP680" s="789"/>
      <c r="AQ680" s="789"/>
      <c r="AR680" s="278">
        <f>$D$134</f>
        <v>0</v>
      </c>
      <c r="AS680" s="278">
        <f>$E$134</f>
        <v>0</v>
      </c>
      <c r="AT680" s="207">
        <f t="shared" si="12"/>
        <v>0</v>
      </c>
      <c r="AU680" s="95">
        <f t="shared" si="13"/>
        <v>0</v>
      </c>
    </row>
    <row r="681" spans="39:48" ht="15.75" customHeight="1">
      <c r="AM681" s="805">
        <v>5</v>
      </c>
      <c r="AN681" s="789" t="str">
        <f>B140</f>
        <v> Други дългосрочни задължения</v>
      </c>
      <c r="AO681" s="789"/>
      <c r="AP681" s="789"/>
      <c r="AQ681" s="789"/>
      <c r="AR681" s="278">
        <f>$D$140</f>
        <v>97</v>
      </c>
      <c r="AS681" s="278">
        <f>$E$140</f>
        <v>79</v>
      </c>
      <c r="AT681" s="207">
        <f t="shared" si="12"/>
        <v>18</v>
      </c>
      <c r="AU681" s="95">
        <f t="shared" si="13"/>
        <v>0.22784810126582278</v>
      </c>
      <c r="AV681" s="64"/>
    </row>
    <row r="682" spans="39:47" ht="15.75" customHeight="1">
      <c r="AM682" s="805">
        <v>6</v>
      </c>
      <c r="AN682" s="789" t="s">
        <v>2387</v>
      </c>
      <c r="AO682" s="789"/>
      <c r="AP682" s="789"/>
      <c r="AQ682" s="789"/>
      <c r="AR682" s="97">
        <f>SUM(AR678:AR681)</f>
        <v>5845</v>
      </c>
      <c r="AS682" s="209">
        <f>SUM(AS678:AS681)</f>
        <v>3478</v>
      </c>
      <c r="AT682" s="207">
        <f t="shared" si="12"/>
        <v>2367</v>
      </c>
      <c r="AU682" s="95">
        <f t="shared" si="13"/>
        <v>0.68056354226567</v>
      </c>
    </row>
    <row r="683" spans="39:47" ht="15.75" customHeight="1">
      <c r="AM683" s="805">
        <v>7</v>
      </c>
      <c r="AN683" s="790" t="s">
        <v>2388</v>
      </c>
      <c r="AO683" s="789"/>
      <c r="AP683" s="789"/>
      <c r="AQ683" s="789"/>
      <c r="AR683" s="97">
        <f>AR677+AR682</f>
        <v>19685</v>
      </c>
      <c r="AS683" s="209">
        <f>AS677+AS682</f>
        <v>17230</v>
      </c>
      <c r="AT683" s="207">
        <f t="shared" si="12"/>
        <v>2455</v>
      </c>
      <c r="AU683" s="95">
        <f t="shared" si="13"/>
        <v>0.1424840394660476</v>
      </c>
    </row>
    <row r="684" spans="39:47" ht="15.75" customHeight="1">
      <c r="AM684" s="805">
        <v>8</v>
      </c>
      <c r="AN684" s="789" t="s">
        <v>2389</v>
      </c>
      <c r="AO684" s="789"/>
      <c r="AP684" s="789"/>
      <c r="AQ684" s="789"/>
      <c r="AR684" s="97">
        <f>D58</f>
        <v>8680</v>
      </c>
      <c r="AS684" s="97">
        <f>E58</f>
        <v>6991</v>
      </c>
      <c r="AT684" s="207">
        <f t="shared" si="12"/>
        <v>1689</v>
      </c>
      <c r="AU684" s="95">
        <f t="shared" si="13"/>
        <v>0.24159633814904877</v>
      </c>
    </row>
    <row r="685" spans="39:47" ht="15.75" customHeight="1">
      <c r="AM685" s="805">
        <v>9</v>
      </c>
      <c r="AN685" s="789" t="s">
        <v>2390</v>
      </c>
      <c r="AO685" s="789"/>
      <c r="AP685" s="789"/>
      <c r="AQ685" s="789"/>
      <c r="AR685" s="97">
        <f>$D$97</f>
        <v>12809</v>
      </c>
      <c r="AS685" s="97">
        <f>$E$97</f>
        <v>12326</v>
      </c>
      <c r="AT685" s="207">
        <f t="shared" si="12"/>
        <v>483</v>
      </c>
      <c r="AU685" s="95">
        <f t="shared" si="13"/>
        <v>0.03918546162583158</v>
      </c>
    </row>
    <row r="686" spans="39:47" ht="15.75" customHeight="1">
      <c r="AM686" s="805">
        <v>10</v>
      </c>
      <c r="AN686" s="789" t="s">
        <v>736</v>
      </c>
      <c r="AO686" s="789"/>
      <c r="AP686" s="789"/>
      <c r="AQ686" s="789"/>
      <c r="AR686" s="278">
        <f>D96</f>
        <v>24</v>
      </c>
      <c r="AS686" s="97">
        <f>E96</f>
        <v>21</v>
      </c>
      <c r="AT686" s="207">
        <f t="shared" si="12"/>
        <v>3</v>
      </c>
      <c r="AU686" s="95">
        <f t="shared" si="13"/>
        <v>0.14285714285714285</v>
      </c>
    </row>
    <row r="687" spans="39:47" ht="15.75" customHeight="1">
      <c r="AM687" s="805">
        <v>11</v>
      </c>
      <c r="AN687" s="789" t="s">
        <v>2391</v>
      </c>
      <c r="AO687" s="789"/>
      <c r="AP687" s="789"/>
      <c r="AQ687" s="789"/>
      <c r="AR687" s="97">
        <f>AR685-AR686</f>
        <v>12785</v>
      </c>
      <c r="AS687" s="209">
        <f>AS685-AS686</f>
        <v>12305</v>
      </c>
      <c r="AT687" s="207">
        <f t="shared" si="12"/>
        <v>480</v>
      </c>
      <c r="AU687" s="95">
        <f t="shared" si="13"/>
        <v>0.03900853311661926</v>
      </c>
    </row>
    <row r="688" spans="39:47" ht="15.75" customHeight="1">
      <c r="AM688" s="805">
        <v>12</v>
      </c>
      <c r="AN688" s="789" t="s">
        <v>257</v>
      </c>
      <c r="AO688" s="789"/>
      <c r="AP688" s="789"/>
      <c r="AQ688" s="789"/>
      <c r="AR688" s="97">
        <f>D164</f>
        <v>760</v>
      </c>
      <c r="AS688" s="97">
        <f>E164</f>
        <v>984</v>
      </c>
      <c r="AT688" s="207">
        <f t="shared" si="12"/>
        <v>-224</v>
      </c>
      <c r="AU688" s="95">
        <f t="shared" si="13"/>
        <v>-0.22764227642276422</v>
      </c>
    </row>
    <row r="689" spans="39:47" ht="15.75" customHeight="1">
      <c r="AM689" s="805">
        <v>13</v>
      </c>
      <c r="AN689" s="859" t="s">
        <v>2392</v>
      </c>
      <c r="AO689" s="789"/>
      <c r="AP689" s="789"/>
      <c r="AQ689" s="789"/>
      <c r="AR689" s="97">
        <f>AR685-AR688</f>
        <v>12049</v>
      </c>
      <c r="AS689" s="209">
        <f>AS685-AS688</f>
        <v>11342</v>
      </c>
      <c r="AT689" s="207">
        <f t="shared" si="12"/>
        <v>707</v>
      </c>
      <c r="AU689" s="95">
        <f t="shared" si="13"/>
        <v>0.06233468524069829</v>
      </c>
    </row>
    <row r="690" spans="39:47" ht="15.75" customHeight="1">
      <c r="AM690" s="805">
        <v>14</v>
      </c>
      <c r="AN690" s="789" t="s">
        <v>2393</v>
      </c>
      <c r="AO690" s="789"/>
      <c r="AP690" s="789"/>
      <c r="AQ690" s="789"/>
      <c r="AR690" s="97">
        <f>D98</f>
        <v>21489</v>
      </c>
      <c r="AS690" s="97">
        <f>E98</f>
        <v>19317</v>
      </c>
      <c r="AT690" s="207">
        <f t="shared" si="12"/>
        <v>2172</v>
      </c>
      <c r="AU690" s="95">
        <f t="shared" si="13"/>
        <v>0.11243981984780245</v>
      </c>
    </row>
    <row r="691" spans="39:47" ht="15.75" customHeight="1">
      <c r="AM691" s="794">
        <v>15</v>
      </c>
      <c r="AN691" s="795" t="s">
        <v>1540</v>
      </c>
      <c r="AO691" s="796"/>
      <c r="AP691" s="796"/>
      <c r="AQ691" s="797"/>
      <c r="AR691" s="100"/>
      <c r="AS691" s="100"/>
      <c r="AT691" s="100"/>
      <c r="AU691" s="104"/>
    </row>
    <row r="692" spans="39:47" ht="15.75" customHeight="1">
      <c r="AM692" s="798"/>
      <c r="AN692" s="799" t="s">
        <v>1541</v>
      </c>
      <c r="AO692" s="789"/>
      <c r="AP692" s="789"/>
      <c r="AQ692" s="806"/>
      <c r="AR692" s="109">
        <f>IF(AR684=0,1,AR683/AR684)</f>
        <v>2.267857142857143</v>
      </c>
      <c r="AS692" s="109">
        <f>IF(AS684=0,1,AS683/AS684)</f>
        <v>2.4645973394364185</v>
      </c>
      <c r="AT692" s="109">
        <f>AR692-AS692</f>
        <v>-0.19674019657927566</v>
      </c>
      <c r="AU692" s="105">
        <f>IF(AND(AS692=0,AR692=0),0,IF(AS692&lt;&gt;0,AT692/ABS(AS692),IF(AS692=0,AT692/ABS(AR692),FLASE)))</f>
        <v>-0.0798265069231408</v>
      </c>
    </row>
    <row r="693" spans="39:47" ht="15.75" customHeight="1">
      <c r="AM693" s="801">
        <v>16</v>
      </c>
      <c r="AN693" s="860" t="s">
        <v>1395</v>
      </c>
      <c r="AO693" s="861"/>
      <c r="AP693" s="861"/>
      <c r="AQ693" s="862"/>
      <c r="AR693" s="100"/>
      <c r="AS693" s="100"/>
      <c r="AT693" s="100"/>
      <c r="AU693" s="104"/>
    </row>
    <row r="694" spans="39:47" ht="15.75" customHeight="1">
      <c r="AM694" s="801"/>
      <c r="AN694" s="863" t="s">
        <v>1542</v>
      </c>
      <c r="AO694" s="215"/>
      <c r="AP694" s="215"/>
      <c r="AQ694" s="864"/>
      <c r="AR694" s="110"/>
      <c r="AS694" s="374"/>
      <c r="AT694" s="374"/>
      <c r="AU694" s="104"/>
    </row>
    <row r="695" spans="39:47" ht="15.75" customHeight="1">
      <c r="AM695" s="807"/>
      <c r="AN695" s="810" t="s">
        <v>1543</v>
      </c>
      <c r="AO695" s="865"/>
      <c r="AP695" s="865"/>
      <c r="AQ695" s="866"/>
      <c r="AR695" s="867">
        <f>IF(AR688=0,1,AR687/AR688)</f>
        <v>16.82236842105263</v>
      </c>
      <c r="AS695" s="109">
        <f>IF(AS688=0,1,AS687/AS688)</f>
        <v>12.505081300813009</v>
      </c>
      <c r="AT695" s="109">
        <f>AR695-AS695</f>
        <v>4.317287120239621</v>
      </c>
      <c r="AU695" s="105">
        <f>IF(AND(AS695=0,AR695=0),0,IF(AS695&lt;&gt;0,AT695/ABS(AS695),IF(AS695=0,AT695/ABS(AR695),FLASE)))</f>
        <v>0.34524262708783315</v>
      </c>
    </row>
    <row r="696" spans="39:47" ht="15.75" customHeight="1">
      <c r="AM696" s="794">
        <v>17</v>
      </c>
      <c r="AN696" s="795" t="s">
        <v>1544</v>
      </c>
      <c r="AO696" s="796"/>
      <c r="AP696" s="796"/>
      <c r="AQ696" s="797"/>
      <c r="AR696" s="110"/>
      <c r="AS696" s="100"/>
      <c r="AT696" s="100"/>
      <c r="AU696" s="104"/>
    </row>
    <row r="697" spans="39:47" ht="15.75" customHeight="1" thickBot="1">
      <c r="AM697" s="812"/>
      <c r="AN697" s="813" t="s">
        <v>1545</v>
      </c>
      <c r="AO697" s="814"/>
      <c r="AP697" s="814"/>
      <c r="AQ697" s="815"/>
      <c r="AR697" s="868">
        <f>AR677/AR690</f>
        <v>0.6440504444134209</v>
      </c>
      <c r="AS697" s="208">
        <f>AS677/AS690</f>
        <v>0.7119117875446498</v>
      </c>
      <c r="AT697" s="117">
        <f>AR697-AS697</f>
        <v>-0.06786134313122894</v>
      </c>
      <c r="AU697" s="118">
        <f>IF(AND(AS697=0,AR697=0),0,IF(AS697&lt;&gt;0,AT697/ABS(AS697),IF(AS697=0,AT697/ABS(AR697),FLASE)))</f>
        <v>-0.09532268508332965</v>
      </c>
    </row>
    <row r="698" spans="39:47" ht="8.25" customHeight="1">
      <c r="AM698" s="229"/>
      <c r="AN698" s="229"/>
      <c r="AO698" s="229"/>
      <c r="AP698" s="229"/>
      <c r="AQ698" s="229"/>
      <c r="AR698" s="869"/>
      <c r="AS698" s="869"/>
      <c r="AT698" s="869"/>
      <c r="AU698" s="870"/>
    </row>
    <row r="699" spans="39:47" ht="15.75" customHeight="1">
      <c r="AM699" s="229"/>
      <c r="AN699" s="229" t="s">
        <v>1396</v>
      </c>
      <c r="AO699" s="229"/>
      <c r="AP699" s="229"/>
      <c r="AQ699" s="229"/>
      <c r="AR699" s="869"/>
      <c r="AS699" s="869"/>
      <c r="AT699" s="869"/>
      <c r="AU699" s="870"/>
    </row>
    <row r="700" spans="39:47" ht="15.75" customHeight="1">
      <c r="AM700" s="666" t="s">
        <v>576</v>
      </c>
      <c r="AN700" s="666"/>
      <c r="AO700" s="871"/>
      <c r="AP700" s="871"/>
      <c r="AQ700" s="871"/>
      <c r="AR700" s="871"/>
      <c r="AS700" s="666"/>
      <c r="AT700" s="666"/>
      <c r="AU700" s="666"/>
    </row>
    <row r="701" spans="39:47" ht="15.75" customHeight="1">
      <c r="AM701" s="666" t="s">
        <v>577</v>
      </c>
      <c r="AN701" s="666"/>
      <c r="AO701" s="666"/>
      <c r="AP701" s="666"/>
      <c r="AQ701" s="666"/>
      <c r="AR701" s="667">
        <f>+AR683</f>
        <v>19685</v>
      </c>
      <c r="AS701" s="816" t="s">
        <v>578</v>
      </c>
      <c r="AT701" s="820">
        <f>ABS(AU683)</f>
        <v>0.1424840394660476</v>
      </c>
      <c r="AU701" s="760" t="str">
        <f>IF(AT683&gt;0,"повече","по-малко")</f>
        <v>повече</v>
      </c>
    </row>
    <row r="702" spans="39:47" ht="15.75" customHeight="1">
      <c r="AM702" s="666" t="s">
        <v>2236</v>
      </c>
      <c r="AN702" s="666"/>
      <c r="AO702" s="666"/>
      <c r="AP702" s="666"/>
      <c r="AQ702" s="666"/>
      <c r="AR702" s="666"/>
      <c r="AS702" s="666"/>
      <c r="AT702" s="666"/>
      <c r="AU702" s="816"/>
    </row>
    <row r="703" spans="39:47" ht="15.75" customHeight="1">
      <c r="AM703" s="760" t="s">
        <v>579</v>
      </c>
      <c r="AN703" s="760"/>
      <c r="AO703" s="760"/>
      <c r="AP703" s="760"/>
      <c r="AQ703" s="760"/>
      <c r="AR703" s="760"/>
      <c r="AS703" s="760"/>
      <c r="AT703" s="760"/>
      <c r="AU703" s="760"/>
    </row>
    <row r="704" spans="39:47" ht="15.75" customHeight="1">
      <c r="AM704" s="760"/>
      <c r="AN704" s="760"/>
      <c r="AO704" s="760"/>
      <c r="AP704" s="760"/>
      <c r="AQ704" s="57"/>
      <c r="AR704" s="822" t="s">
        <v>85</v>
      </c>
      <c r="AS704" s="667" t="s">
        <v>580</v>
      </c>
      <c r="AT704" s="760"/>
      <c r="AU704" s="760"/>
    </row>
    <row r="705" spans="39:47" ht="15.75" customHeight="1">
      <c r="AM705" s="666"/>
      <c r="AN705" s="666"/>
      <c r="AO705" s="666"/>
      <c r="AP705" s="666"/>
      <c r="AQ705" s="667" t="s">
        <v>2294</v>
      </c>
      <c r="AR705" s="667">
        <f>D130</f>
        <v>13840</v>
      </c>
      <c r="AS705" s="125">
        <f>+AR705/$AR$701</f>
        <v>0.7030734061468122</v>
      </c>
      <c r="AT705" s="666"/>
      <c r="AU705" s="666"/>
    </row>
    <row r="706" spans="39:47" ht="15.75" customHeight="1">
      <c r="AM706" s="666"/>
      <c r="AN706" s="666"/>
      <c r="AO706" s="666"/>
      <c r="AP706" s="666"/>
      <c r="AQ706" s="667" t="s">
        <v>2295</v>
      </c>
      <c r="AR706" s="667">
        <f>+AR678</f>
        <v>5556</v>
      </c>
      <c r="AS706" s="125">
        <f>+AR706/$AR$701</f>
        <v>0.28224536449072896</v>
      </c>
      <c r="AT706" s="666"/>
      <c r="AU706" s="666"/>
    </row>
    <row r="707" spans="39:47" ht="15.75" customHeight="1">
      <c r="AM707" s="666"/>
      <c r="AN707" s="666"/>
      <c r="AO707" s="666"/>
      <c r="AP707" s="666"/>
      <c r="AQ707" s="667" t="s">
        <v>461</v>
      </c>
      <c r="AR707" s="667">
        <f>+AR679</f>
        <v>192</v>
      </c>
      <c r="AS707" s="125">
        <f>+AR707/$AR$701</f>
        <v>0.009753619507239015</v>
      </c>
      <c r="AT707" s="666"/>
      <c r="AU707" s="666"/>
    </row>
    <row r="708" spans="39:47" ht="15.75" customHeight="1">
      <c r="AM708" s="666"/>
      <c r="AN708" s="666"/>
      <c r="AO708" s="666"/>
      <c r="AP708" s="666"/>
      <c r="AQ708" s="667" t="s">
        <v>1229</v>
      </c>
      <c r="AR708" s="667">
        <f>+AR680</f>
        <v>0</v>
      </c>
      <c r="AS708" s="125">
        <f>+AR708/$AR$701</f>
        <v>0</v>
      </c>
      <c r="AT708" s="666"/>
      <c r="AU708" s="666"/>
    </row>
    <row r="709" spans="39:47" ht="15.75" customHeight="1">
      <c r="AM709" s="666"/>
      <c r="AN709" s="666"/>
      <c r="AO709" s="666"/>
      <c r="AP709" s="666"/>
      <c r="AQ709" s="667" t="s">
        <v>1363</v>
      </c>
      <c r="AR709" s="667">
        <f>+AR681</f>
        <v>97</v>
      </c>
      <c r="AS709" s="125">
        <f>+AR709/$AR$701</f>
        <v>0.0049276098552197105</v>
      </c>
      <c r="AT709" s="666"/>
      <c r="AU709" s="666"/>
    </row>
    <row r="710" spans="39:47" ht="15.75" customHeight="1">
      <c r="AM710" s="666"/>
      <c r="AN710" s="666" t="s">
        <v>159</v>
      </c>
      <c r="AO710" s="666"/>
      <c r="AP710" s="666"/>
      <c r="AQ710" s="666"/>
      <c r="AR710" s="666"/>
      <c r="AS710" s="666"/>
      <c r="AT710" s="666"/>
      <c r="AU710" s="666"/>
    </row>
    <row r="711" spans="39:47" ht="15.75" customHeight="1">
      <c r="AM711" s="666" t="s">
        <v>544</v>
      </c>
      <c r="AN711" s="666"/>
      <c r="AO711" s="666"/>
      <c r="AP711" s="666"/>
      <c r="AQ711" s="666"/>
      <c r="AR711" s="666"/>
      <c r="AS711" s="666"/>
      <c r="AT711" s="666"/>
      <c r="AU711" s="666"/>
    </row>
    <row r="712" spans="39:47" ht="15.75" customHeight="1">
      <c r="AM712" s="666" t="s">
        <v>545</v>
      </c>
      <c r="AN712" s="666"/>
      <c r="AO712" s="816">
        <f>+AR689</f>
        <v>12049</v>
      </c>
      <c r="AP712" s="816" t="s">
        <v>578</v>
      </c>
      <c r="AQ712" s="820">
        <f>ABS(AU689)</f>
        <v>0.06233468524069829</v>
      </c>
      <c r="AR712" s="760" t="str">
        <f>IF(AT689&gt;=0,"повече","по-малко")</f>
        <v>повече</v>
      </c>
      <c r="AS712" s="666" t="s">
        <v>546</v>
      </c>
      <c r="AT712" s="666"/>
      <c r="AU712" s="666"/>
    </row>
    <row r="713" spans="39:47" ht="15.75" customHeight="1">
      <c r="AM713" s="666"/>
      <c r="AN713" s="666" t="s">
        <v>944</v>
      </c>
      <c r="AO713" s="666"/>
      <c r="AP713" s="666"/>
      <c r="AQ713" s="666"/>
      <c r="AR713" s="666"/>
      <c r="AS713" s="823">
        <f>+AR692</f>
        <v>2.267857142857143</v>
      </c>
      <c r="AT713" s="228" t="s">
        <v>547</v>
      </c>
      <c r="AU713" s="666"/>
    </row>
    <row r="714" spans="39:47" ht="15.75" customHeight="1">
      <c r="AM714" s="666" t="s">
        <v>548</v>
      </c>
      <c r="AN714" s="666"/>
      <c r="AO714" s="666"/>
      <c r="AP714" s="823">
        <f>ABS(AT692)</f>
        <v>0.19674019657927566</v>
      </c>
      <c r="AQ714" s="666" t="s">
        <v>2235</v>
      </c>
      <c r="AR714" s="820">
        <f>ABS(AU692)</f>
        <v>0.0798265069231408</v>
      </c>
      <c r="AS714" s="760" t="str">
        <f>IF(AT692&gt;0,"повече","по-малко")</f>
        <v>по-малко</v>
      </c>
      <c r="AT714" s="666" t="s">
        <v>549</v>
      </c>
      <c r="AU714" s="666"/>
    </row>
    <row r="715" spans="39:47" ht="15.75" customHeight="1">
      <c r="AM715" s="666" t="s">
        <v>948</v>
      </c>
      <c r="AN715" s="666"/>
      <c r="AO715" s="666"/>
      <c r="AP715" s="820"/>
      <c r="AQ715" s="760"/>
      <c r="AR715" s="666"/>
      <c r="AS715" s="666"/>
      <c r="AT715" s="666"/>
      <c r="AU715" s="666"/>
    </row>
    <row r="716" spans="39:60" ht="15.75" customHeight="1">
      <c r="AM716" s="666"/>
      <c r="AN716" s="666" t="s">
        <v>550</v>
      </c>
      <c r="AO716" s="666"/>
      <c r="AP716" s="666"/>
      <c r="AQ716" s="666"/>
      <c r="AR716" s="666"/>
      <c r="AS716" s="666"/>
      <c r="AT716" s="823">
        <f>+AR695</f>
        <v>16.82236842105263</v>
      </c>
      <c r="AU716" s="816" t="s">
        <v>551</v>
      </c>
      <c r="BF716" s="600" t="str">
        <f>+' -'!$E$21</f>
        <v>Програмата за финансов анализ е лицензирана на:</v>
      </c>
      <c r="BG716" s="582"/>
      <c r="BH716" s="582"/>
    </row>
    <row r="717" spans="39:60" ht="15.75" customHeight="1">
      <c r="AM717" s="666" t="s">
        <v>552</v>
      </c>
      <c r="AN717" s="666"/>
      <c r="AO717" s="666"/>
      <c r="AP717" s="666"/>
      <c r="AQ717" s="666"/>
      <c r="AR717" s="823">
        <f>ABS(AT695)</f>
        <v>4.317287120239621</v>
      </c>
      <c r="AS717" s="666" t="s">
        <v>2235</v>
      </c>
      <c r="AT717" s="820">
        <f>ABS(AU695)</f>
        <v>0.34524262708783315</v>
      </c>
      <c r="AU717" s="760" t="str">
        <f>IF(AT695&gt;0,"повече","по-малко")</f>
        <v>повече</v>
      </c>
      <c r="BF717" s="601"/>
      <c r="BG717" s="10"/>
      <c r="BH717" s="10"/>
    </row>
    <row r="718" spans="39:60" ht="15.75" customHeight="1">
      <c r="AM718" s="666" t="s">
        <v>2236</v>
      </c>
      <c r="AN718" s="666"/>
      <c r="AO718" s="666"/>
      <c r="AP718" s="666"/>
      <c r="AQ718" s="820"/>
      <c r="AR718" s="760"/>
      <c r="AS718" s="666"/>
      <c r="AT718" s="666"/>
      <c r="AU718" s="666"/>
      <c r="BF718" s="600" t="str">
        <f>+' -'!$E$22</f>
        <v>"В И Н З А В О Д"  А Д - гр. АСЕНОВГРАД</v>
      </c>
      <c r="BG718" s="581"/>
      <c r="BH718" s="581"/>
    </row>
    <row r="719" spans="39:48" ht="10.5" customHeight="1">
      <c r="AM719" s="608"/>
      <c r="AN719" s="608"/>
      <c r="AO719" s="608"/>
      <c r="AP719" s="608"/>
      <c r="AQ719" s="608"/>
      <c r="AR719" s="608"/>
      <c r="AS719" s="608"/>
      <c r="AT719" s="608"/>
      <c r="AU719" s="608"/>
      <c r="AV719" s="62">
        <f>+' -'!$C$12</f>
      </c>
    </row>
    <row r="720" spans="39:56" ht="24" customHeight="1">
      <c r="AM720" s="765" t="s">
        <v>869</v>
      </c>
      <c r="AN720" s="854"/>
      <c r="AO720" s="854"/>
      <c r="AP720" s="854"/>
      <c r="AQ720" s="854"/>
      <c r="AR720" s="854"/>
      <c r="AS720" s="854"/>
      <c r="AT720" s="760"/>
      <c r="AU720" s="608"/>
      <c r="AV720" s="18"/>
      <c r="AW720" s="18"/>
      <c r="AX720" s="18"/>
      <c r="AY720" s="18"/>
      <c r="AZ720" s="18"/>
      <c r="BA720" s="18"/>
      <c r="BB720" s="18"/>
      <c r="BC720" s="18"/>
      <c r="BD720" s="18"/>
    </row>
    <row r="721" spans="39:56" ht="24" customHeight="1" thickBot="1">
      <c r="AM721" s="765" t="str">
        <f>AM513</f>
        <v>"В И Н З А В О Д"  А Д - гр. АСЕНОВГРАД</v>
      </c>
      <c r="AN721" s="854"/>
      <c r="AO721" s="854"/>
      <c r="AP721" s="854"/>
      <c r="AQ721" s="854"/>
      <c r="AR721" s="854"/>
      <c r="AS721" s="854"/>
      <c r="AT721" s="760"/>
      <c r="AU721" s="667" t="s">
        <v>1610</v>
      </c>
      <c r="AV721" s="18"/>
      <c r="AW721" s="18"/>
      <c r="AX721" s="18"/>
      <c r="AY721" s="18"/>
      <c r="AZ721" s="18"/>
      <c r="BA721" s="18"/>
      <c r="BB721" s="18"/>
      <c r="BC721" s="18"/>
      <c r="BD721" s="18"/>
    </row>
    <row r="722" spans="39:56" ht="24" customHeight="1">
      <c r="AM722" s="872"/>
      <c r="AN722" s="873"/>
      <c r="AO722" s="874"/>
      <c r="AP722" s="874"/>
      <c r="AQ722" s="874"/>
      <c r="AR722" s="875" t="str">
        <f>$D$7</f>
        <v>Текуща</v>
      </c>
      <c r="AS722" s="876" t="str">
        <f>$E$7</f>
        <v>Предходна</v>
      </c>
      <c r="AT722" s="774" t="s">
        <v>1611</v>
      </c>
      <c r="AU722" s="855"/>
      <c r="AV722" s="18"/>
      <c r="AW722" s="18"/>
      <c r="AX722" s="18"/>
      <c r="AY722" s="18"/>
      <c r="AZ722" s="18"/>
      <c r="BA722" s="18"/>
      <c r="BB722" s="18"/>
      <c r="BC722" s="18"/>
      <c r="BD722" s="18"/>
    </row>
    <row r="723" spans="39:56" ht="24" customHeight="1">
      <c r="AM723" s="877" t="s">
        <v>1612</v>
      </c>
      <c r="AN723" s="878" t="s">
        <v>1613</v>
      </c>
      <c r="AO723" s="879"/>
      <c r="AP723" s="879"/>
      <c r="AQ723" s="879"/>
      <c r="AR723" s="880" t="str">
        <f>$D$8</f>
        <v>година</v>
      </c>
      <c r="AS723" s="881" t="str">
        <f>$E$8</f>
        <v>година</v>
      </c>
      <c r="AT723" s="857"/>
      <c r="AU723" s="858"/>
      <c r="AV723" s="18"/>
      <c r="AW723" s="18"/>
      <c r="AX723" s="18"/>
      <c r="AY723" s="18"/>
      <c r="AZ723" s="18"/>
      <c r="BA723" s="18"/>
      <c r="BB723" s="18"/>
      <c r="BC723" s="18"/>
      <c r="BD723" s="18"/>
    </row>
    <row r="724" spans="39:56" ht="24" customHeight="1" thickBot="1">
      <c r="AM724" s="882"/>
      <c r="AN724" s="883"/>
      <c r="AO724" s="884"/>
      <c r="AP724" s="884"/>
      <c r="AQ724" s="884"/>
      <c r="AR724" s="835" t="s">
        <v>1614</v>
      </c>
      <c r="AS724" s="885" t="s">
        <v>1614</v>
      </c>
      <c r="AT724" s="786" t="s">
        <v>1614</v>
      </c>
      <c r="AU724" s="787" t="s">
        <v>1615</v>
      </c>
      <c r="AV724" s="18"/>
      <c r="AW724" s="18"/>
      <c r="AX724" s="18"/>
      <c r="AY724" s="18"/>
      <c r="AZ724" s="18"/>
      <c r="BA724" s="18"/>
      <c r="BB724" s="18"/>
      <c r="BC724" s="18"/>
      <c r="BD724" s="18"/>
    </row>
    <row r="725" spans="39:56" ht="24" customHeight="1">
      <c r="AM725" s="805" t="s">
        <v>1616</v>
      </c>
      <c r="AN725" s="789" t="s">
        <v>916</v>
      </c>
      <c r="AO725" s="789"/>
      <c r="AP725" s="789"/>
      <c r="AQ725" s="789"/>
      <c r="AR725" s="207">
        <f>D68</f>
        <v>7219</v>
      </c>
      <c r="AS725" s="207">
        <f>E68</f>
        <v>6572</v>
      </c>
      <c r="AT725" s="207">
        <f aca="true" t="shared" si="14" ref="AT725:AT730">AR725-AS725</f>
        <v>647</v>
      </c>
      <c r="AU725" s="103">
        <f aca="true" t="shared" si="15" ref="AU725:AU730">IF(AND(AS725=0,AR725=0),0,IF(AS725&lt;&gt;0,AT725/ABS(AS725),IF(AS725=0,AT725/ABS(AR725),FLASE)))</f>
        <v>0.09844796104686548</v>
      </c>
      <c r="AV725" s="18"/>
      <c r="AW725" s="18"/>
      <c r="AX725" s="18"/>
      <c r="AY725" s="18"/>
      <c r="AZ725" s="18"/>
      <c r="BA725" s="18"/>
      <c r="BB725" s="18"/>
      <c r="BC725" s="18"/>
      <c r="BD725" s="18"/>
    </row>
    <row r="726" spans="39:58" ht="24" customHeight="1">
      <c r="AM726" s="805" t="s">
        <v>2455</v>
      </c>
      <c r="AN726" s="789" t="s">
        <v>340</v>
      </c>
      <c r="AO726" s="789"/>
      <c r="AP726" s="789"/>
      <c r="AQ726" s="789"/>
      <c r="AR726" s="93">
        <f>IF(' -'!$B$11="",$D$78,Анализ!$AS$732)</f>
        <v>5441</v>
      </c>
      <c r="AS726" s="93">
        <f>IF(' -'!$B$11="",$E$78,Анализ!$AR$732)</f>
        <v>5494</v>
      </c>
      <c r="AT726" s="207">
        <f t="shared" si="14"/>
        <v>-53</v>
      </c>
      <c r="AU726" s="95">
        <f t="shared" si="15"/>
        <v>-0.009646887513651257</v>
      </c>
      <c r="AV726" s="130"/>
      <c r="AW726" s="18"/>
      <c r="AX726" s="18"/>
      <c r="AY726" s="18"/>
      <c r="AZ726" s="18"/>
      <c r="BA726" s="18"/>
      <c r="BB726" s="18"/>
      <c r="BC726" s="18"/>
      <c r="BD726" s="18"/>
      <c r="BF726" s="275" t="s">
        <v>1455</v>
      </c>
    </row>
    <row r="727" spans="39:56" ht="24" customHeight="1">
      <c r="AM727" s="805">
        <v>3</v>
      </c>
      <c r="AN727" s="789" t="s">
        <v>917</v>
      </c>
      <c r="AO727" s="789"/>
      <c r="AP727" s="789"/>
      <c r="AQ727" s="789"/>
      <c r="AR727" s="207">
        <f>D88</f>
        <v>0</v>
      </c>
      <c r="AS727" s="207">
        <f>E88</f>
        <v>0</v>
      </c>
      <c r="AT727" s="207">
        <f t="shared" si="14"/>
        <v>0</v>
      </c>
      <c r="AU727" s="95">
        <f t="shared" si="15"/>
        <v>0</v>
      </c>
      <c r="AV727" s="18"/>
      <c r="AW727" s="18"/>
      <c r="AX727" s="18"/>
      <c r="AY727" s="18"/>
      <c r="AZ727" s="18"/>
      <c r="BA727" s="18"/>
      <c r="BB727" s="18"/>
      <c r="BC727" s="18"/>
      <c r="BD727" s="18"/>
    </row>
    <row r="728" spans="39:56" ht="24" customHeight="1">
      <c r="AM728" s="805">
        <v>4</v>
      </c>
      <c r="AN728" s="789" t="s">
        <v>564</v>
      </c>
      <c r="AO728" s="789"/>
      <c r="AP728" s="789"/>
      <c r="AQ728" s="789"/>
      <c r="AR728" s="207">
        <f>D95</f>
        <v>125</v>
      </c>
      <c r="AS728" s="207">
        <f>E95</f>
        <v>239</v>
      </c>
      <c r="AT728" s="207">
        <f t="shared" si="14"/>
        <v>-114</v>
      </c>
      <c r="AU728" s="95">
        <f t="shared" si="15"/>
        <v>-0.4769874476987448</v>
      </c>
      <c r="AV728" s="18"/>
      <c r="AW728" s="18"/>
      <c r="AX728" s="18"/>
      <c r="AY728" s="18"/>
      <c r="AZ728" s="18"/>
      <c r="BA728" s="18"/>
      <c r="BB728" s="18"/>
      <c r="BC728" s="18"/>
      <c r="BD728" s="18"/>
    </row>
    <row r="729" spans="39:56" ht="24" customHeight="1">
      <c r="AM729" s="805">
        <v>5</v>
      </c>
      <c r="AN729" s="790" t="s">
        <v>565</v>
      </c>
      <c r="AO729" s="789"/>
      <c r="AP729" s="789"/>
      <c r="AQ729" s="789"/>
      <c r="AR729" s="97">
        <f>SUM(AR725:AR728)</f>
        <v>12785</v>
      </c>
      <c r="AS729" s="209">
        <f>SUM(AS725:AS728)</f>
        <v>12305</v>
      </c>
      <c r="AT729" s="207">
        <f t="shared" si="14"/>
        <v>480</v>
      </c>
      <c r="AU729" s="95">
        <f t="shared" si="15"/>
        <v>0.03900853311661926</v>
      </c>
      <c r="AV729" s="18"/>
      <c r="AW729" s="18"/>
      <c r="AX729" s="18"/>
      <c r="AY729" s="18"/>
      <c r="AZ729" s="18"/>
      <c r="BA729" s="18"/>
      <c r="BB729" s="18"/>
      <c r="BC729" s="18"/>
      <c r="BD729" s="18"/>
    </row>
    <row r="730" spans="39:58" ht="24" customHeight="1">
      <c r="AM730" s="805">
        <v>6</v>
      </c>
      <c r="AN730" s="790" t="s">
        <v>29</v>
      </c>
      <c r="AO730" s="789"/>
      <c r="AP730" s="789"/>
      <c r="AQ730" s="789"/>
      <c r="AR730" s="93">
        <f>IF(' -'!$B$11="",$D$164,Анализ!$AS$681)</f>
        <v>760</v>
      </c>
      <c r="AS730" s="93">
        <f>IF(' -'!$B$11="",$E$164,Анализ!$AR$681)</f>
        <v>984</v>
      </c>
      <c r="AT730" s="207">
        <f t="shared" si="14"/>
        <v>-224</v>
      </c>
      <c r="AU730" s="95">
        <f t="shared" si="15"/>
        <v>-0.22764227642276422</v>
      </c>
      <c r="AV730" s="18"/>
      <c r="AW730" s="18"/>
      <c r="AX730" s="18"/>
      <c r="AY730" s="18"/>
      <c r="AZ730" s="18"/>
      <c r="BA730" s="18"/>
      <c r="BB730" s="18"/>
      <c r="BC730" s="18"/>
      <c r="BD730" s="18"/>
      <c r="BF730" s="275" t="s">
        <v>1455</v>
      </c>
    </row>
    <row r="731" spans="39:56" ht="24" customHeight="1">
      <c r="AM731" s="801">
        <v>7</v>
      </c>
      <c r="AN731" s="210" t="s">
        <v>566</v>
      </c>
      <c r="AO731" s="110"/>
      <c r="AP731" s="110"/>
      <c r="AQ731" s="110"/>
      <c r="AR731" s="210"/>
      <c r="AS731" s="210"/>
      <c r="AT731" s="211"/>
      <c r="AU731" s="104"/>
      <c r="AV731" s="18"/>
      <c r="AW731" s="18"/>
      <c r="AX731" s="18"/>
      <c r="AY731" s="18"/>
      <c r="AZ731" s="18"/>
      <c r="BA731" s="18"/>
      <c r="BB731" s="18"/>
      <c r="BC731" s="18"/>
      <c r="BD731" s="18"/>
    </row>
    <row r="732" spans="39:56" ht="24" customHeight="1">
      <c r="AM732" s="805"/>
      <c r="AN732" s="789" t="s">
        <v>567</v>
      </c>
      <c r="AO732" s="789"/>
      <c r="AP732" s="789"/>
      <c r="AQ732" s="789"/>
      <c r="AR732" s="207">
        <f>AR499</f>
        <v>0</v>
      </c>
      <c r="AS732" s="207">
        <f>AS499</f>
        <v>0</v>
      </c>
      <c r="AT732" s="207">
        <f aca="true" t="shared" si="16" ref="AT732:AT737">AR732-AS732</f>
        <v>0</v>
      </c>
      <c r="AU732" s="105">
        <f aca="true" t="shared" si="17" ref="AU732:AU737">IF(AND(AS732=0,AR732=0),0,IF(AS732&lt;&gt;0,AT732/ABS(AS732),IF(AS732=0,AT732/ABS(AR732),FLASE)))</f>
        <v>0</v>
      </c>
      <c r="AV732" s="18"/>
      <c r="AW732" s="18"/>
      <c r="AX732" s="18"/>
      <c r="AY732" s="18"/>
      <c r="AZ732" s="18"/>
      <c r="BA732" s="18"/>
      <c r="BB732" s="18"/>
      <c r="BC732" s="18"/>
      <c r="BD732" s="18"/>
    </row>
    <row r="733" spans="39:56" ht="24" customHeight="1">
      <c r="AM733" s="805">
        <v>8</v>
      </c>
      <c r="AN733" s="790" t="s">
        <v>784</v>
      </c>
      <c r="AO733" s="789"/>
      <c r="AP733" s="789"/>
      <c r="AQ733" s="789"/>
      <c r="AR733" s="209">
        <f>AR730+AR732</f>
        <v>760</v>
      </c>
      <c r="AS733" s="209">
        <f>AS730+AS732</f>
        <v>984</v>
      </c>
      <c r="AT733" s="207">
        <f t="shared" si="16"/>
        <v>-224</v>
      </c>
      <c r="AU733" s="95">
        <f t="shared" si="17"/>
        <v>-0.22764227642276422</v>
      </c>
      <c r="AV733" s="18"/>
      <c r="AW733" s="18"/>
      <c r="AX733" s="18"/>
      <c r="AY733" s="18"/>
      <c r="AZ733" s="18"/>
      <c r="BA733" s="18"/>
      <c r="BB733" s="18"/>
      <c r="BC733" s="18"/>
      <c r="BD733" s="18"/>
    </row>
    <row r="734" spans="39:56" ht="24" customHeight="1">
      <c r="AM734" s="805">
        <v>9</v>
      </c>
      <c r="AN734" s="789" t="s">
        <v>28</v>
      </c>
      <c r="AO734" s="789"/>
      <c r="AP734" s="789"/>
      <c r="AQ734" s="789"/>
      <c r="AR734" s="97">
        <f>$D$97</f>
        <v>12809</v>
      </c>
      <c r="AS734" s="97">
        <f>$E$97</f>
        <v>12326</v>
      </c>
      <c r="AT734" s="207">
        <f t="shared" si="16"/>
        <v>483</v>
      </c>
      <c r="AU734" s="95">
        <f t="shared" si="17"/>
        <v>0.03918546162583158</v>
      </c>
      <c r="AV734" s="18"/>
      <c r="AW734" s="18"/>
      <c r="AX734" s="18"/>
      <c r="AY734" s="18"/>
      <c r="AZ734" s="18"/>
      <c r="BA734" s="18"/>
      <c r="BB734" s="18"/>
      <c r="BC734" s="18"/>
      <c r="BD734" s="18"/>
    </row>
    <row r="735" spans="39:56" ht="24" customHeight="1">
      <c r="AM735" s="805">
        <v>10</v>
      </c>
      <c r="AN735" s="789" t="s">
        <v>1214</v>
      </c>
      <c r="AO735" s="789"/>
      <c r="AP735" s="789"/>
      <c r="AQ735" s="789"/>
      <c r="AR735" s="207">
        <f>$D$98</f>
        <v>21489</v>
      </c>
      <c r="AS735" s="207">
        <f>$E$98</f>
        <v>19317</v>
      </c>
      <c r="AT735" s="207">
        <f t="shared" si="16"/>
        <v>2172</v>
      </c>
      <c r="AU735" s="95">
        <f t="shared" si="17"/>
        <v>0.11243981984780245</v>
      </c>
      <c r="AV735" s="18"/>
      <c r="AW735" s="18"/>
      <c r="AX735" s="18"/>
      <c r="AY735" s="18"/>
      <c r="AZ735" s="18"/>
      <c r="BA735" s="18"/>
      <c r="BB735" s="18"/>
      <c r="BC735" s="18"/>
      <c r="BD735" s="18"/>
    </row>
    <row r="736" spans="39:56" ht="24" customHeight="1">
      <c r="AM736" s="805">
        <v>11</v>
      </c>
      <c r="AN736" s="789" t="s">
        <v>338</v>
      </c>
      <c r="AO736" s="789"/>
      <c r="AP736" s="789"/>
      <c r="AQ736" s="789"/>
      <c r="AR736" s="886">
        <f>AR728/AR734</f>
        <v>0.009758763369505817</v>
      </c>
      <c r="AS736" s="886">
        <f>AS728/AS734</f>
        <v>0.019389907512575046</v>
      </c>
      <c r="AT736" s="102">
        <f t="shared" si="16"/>
        <v>-0.00963114414306923</v>
      </c>
      <c r="AU736" s="95">
        <f t="shared" si="17"/>
        <v>-0.496709132667244</v>
      </c>
      <c r="AV736" s="18"/>
      <c r="AW736" s="18"/>
      <c r="AX736" s="18"/>
      <c r="AY736" s="18"/>
      <c r="AZ736" s="18"/>
      <c r="BA736" s="18"/>
      <c r="BB736" s="18"/>
      <c r="BC736" s="18"/>
      <c r="BD736" s="18"/>
    </row>
    <row r="737" spans="39:56" ht="24" customHeight="1">
      <c r="AM737" s="805">
        <v>12</v>
      </c>
      <c r="AN737" s="789" t="s">
        <v>337</v>
      </c>
      <c r="AO737" s="789"/>
      <c r="AP737" s="789"/>
      <c r="AQ737" s="789"/>
      <c r="AR737" s="102">
        <f>AR728/AR735</f>
        <v>0.00581692959188422</v>
      </c>
      <c r="AS737" s="102">
        <f>AS728/AS735</f>
        <v>0.012372521613086919</v>
      </c>
      <c r="AT737" s="102">
        <f t="shared" si="16"/>
        <v>-0.006555592021202699</v>
      </c>
      <c r="AU737" s="95">
        <f t="shared" si="17"/>
        <v>-0.5298509249940273</v>
      </c>
      <c r="AV737" s="18"/>
      <c r="AW737" s="18"/>
      <c r="AX737" s="18"/>
      <c r="AY737" s="18"/>
      <c r="AZ737" s="18"/>
      <c r="BA737" s="18"/>
      <c r="BB737" s="18"/>
      <c r="BC737" s="18"/>
      <c r="BD737" s="18"/>
    </row>
    <row r="738" spans="39:56" ht="24" customHeight="1">
      <c r="AM738" s="887" t="s">
        <v>568</v>
      </c>
      <c r="AN738" s="888"/>
      <c r="AO738" s="889"/>
      <c r="AP738" s="889"/>
      <c r="AQ738" s="889"/>
      <c r="AR738" s="889"/>
      <c r="AS738" s="889"/>
      <c r="AT738" s="890"/>
      <c r="AU738" s="891"/>
      <c r="AV738" s="18"/>
      <c r="AW738" s="18"/>
      <c r="AX738" s="18"/>
      <c r="AY738" s="18"/>
      <c r="AZ738" s="18"/>
      <c r="BA738" s="18"/>
      <c r="BB738" s="18"/>
      <c r="BC738" s="18"/>
      <c r="BD738" s="18"/>
    </row>
    <row r="739" spans="39:56" ht="24" customHeight="1">
      <c r="AM739" s="892">
        <v>13</v>
      </c>
      <c r="AN739" s="799" t="s">
        <v>569</v>
      </c>
      <c r="AO739" s="789"/>
      <c r="AP739" s="789"/>
      <c r="AQ739" s="789"/>
      <c r="AR739" s="116">
        <f>IF(AR730=0,1,AR729/AR730)</f>
        <v>16.82236842105263</v>
      </c>
      <c r="AS739" s="116">
        <f>IF(AS730=0,1,AS729/AS730)</f>
        <v>12.505081300813009</v>
      </c>
      <c r="AT739" s="109">
        <f>AR739-AS739</f>
        <v>4.317287120239621</v>
      </c>
      <c r="AU739" s="95">
        <f>IF(AND(AS739=0,AR739=0),0,IF(AS739&lt;&gt;0,AT739/ABS(AS739),IF(AS739=0,AT739/ABS(AR739),FLASE)))</f>
        <v>0.34524262708783315</v>
      </c>
      <c r="AV739" s="18"/>
      <c r="AW739" s="18"/>
      <c r="AX739" s="18"/>
      <c r="AY739" s="18"/>
      <c r="AZ739" s="18"/>
      <c r="BA739" s="18"/>
      <c r="BB739" s="18"/>
      <c r="BC739" s="18"/>
      <c r="BD739" s="18"/>
    </row>
    <row r="740" spans="39:56" ht="24" customHeight="1">
      <c r="AM740" s="892">
        <v>14</v>
      </c>
      <c r="AN740" s="799" t="s">
        <v>1735</v>
      </c>
      <c r="AO740" s="789"/>
      <c r="AP740" s="789"/>
      <c r="AQ740" s="789"/>
      <c r="AR740" s="116">
        <f>IF(AR730=0,1,(AR726+AR727+AR728)/AR730)</f>
        <v>7.323684210526316</v>
      </c>
      <c r="AS740" s="116">
        <f>IF(AS730=0,1,(AS726+AS727+AS728)/AS730)</f>
        <v>5.826219512195122</v>
      </c>
      <c r="AT740" s="109">
        <f>AR740-AS740</f>
        <v>1.4974646983311937</v>
      </c>
      <c r="AU740" s="95">
        <f>IF(AND(AS740=0,AR740=0),0,IF(AS740&lt;&gt;0,AT740/ABS(AS740),IF(AS740=0,AT740/ABS(AR740),FLASE)))</f>
        <v>0.2570216750667878</v>
      </c>
      <c r="AV740" s="18"/>
      <c r="AW740" s="18"/>
      <c r="AX740" s="18"/>
      <c r="AY740" s="18"/>
      <c r="AZ740" s="18"/>
      <c r="BA740" s="18"/>
      <c r="BB740" s="18"/>
      <c r="BC740" s="18"/>
      <c r="BD740" s="18"/>
    </row>
    <row r="741" spans="39:56" ht="24" customHeight="1">
      <c r="AM741" s="892">
        <v>15</v>
      </c>
      <c r="AN741" s="799" t="s">
        <v>918</v>
      </c>
      <c r="AO741" s="789"/>
      <c r="AP741" s="789"/>
      <c r="AQ741" s="789"/>
      <c r="AR741" s="116">
        <f>IF(AR730=0,1,(AR727+AR728)/AR730)</f>
        <v>0.16447368421052633</v>
      </c>
      <c r="AS741" s="116">
        <f>IF(AS730=0,1,(AS727+AS728)/AS730)</f>
        <v>0.24288617886178862</v>
      </c>
      <c r="AT741" s="109">
        <f>AR741-AS741</f>
        <v>-0.0784124946512623</v>
      </c>
      <c r="AU741" s="95">
        <f>IF(AND(AS741=0,AR741=0),0,IF(AS741&lt;&gt;0,AT741/ABS(AS741),IF(AS741=0,AT741/ABS(AR741),FLASE)))</f>
        <v>-0.32283637965205897</v>
      </c>
      <c r="AV741" s="18"/>
      <c r="AW741" s="18"/>
      <c r="AX741" s="18"/>
      <c r="AY741" s="18"/>
      <c r="AZ741" s="18"/>
      <c r="BA741" s="18"/>
      <c r="BB741" s="18"/>
      <c r="BC741" s="18"/>
      <c r="BD741" s="18"/>
    </row>
    <row r="742" spans="39:56" ht="24" customHeight="1">
      <c r="AM742" s="892">
        <v>16</v>
      </c>
      <c r="AN742" s="799" t="s">
        <v>1736</v>
      </c>
      <c r="AO742" s="789"/>
      <c r="AP742" s="789"/>
      <c r="AQ742" s="789"/>
      <c r="AR742" s="116">
        <f>IF(AR730=0,1,AR728/AR730)</f>
        <v>0.16447368421052633</v>
      </c>
      <c r="AS742" s="116">
        <f>IF(AS730=0,1,AS728/AS730)</f>
        <v>0.24288617886178862</v>
      </c>
      <c r="AT742" s="109">
        <f>AR742-AS742</f>
        <v>-0.0784124946512623</v>
      </c>
      <c r="AU742" s="95">
        <f>IF(AND(AS742=0,AR742=0),0,IF(AS742&lt;&gt;0,AT742/ABS(AS742),IF(AS742=0,AT742/ABS(AR742),FLASE)))</f>
        <v>-0.32283637965205897</v>
      </c>
      <c r="AV742" s="18"/>
      <c r="AW742" s="18"/>
      <c r="AX742" s="18"/>
      <c r="AY742" s="18"/>
      <c r="AZ742" s="18"/>
      <c r="BA742" s="18"/>
      <c r="BB742" s="18"/>
      <c r="BC742" s="18"/>
      <c r="BD742" s="18"/>
    </row>
    <row r="743" spans="39:56" ht="24" customHeight="1">
      <c r="AM743" s="887" t="s">
        <v>1737</v>
      </c>
      <c r="AN743" s="893"/>
      <c r="AO743" s="893"/>
      <c r="AP743" s="893"/>
      <c r="AQ743" s="893"/>
      <c r="AR743" s="894"/>
      <c r="AS743" s="895"/>
      <c r="AT743" s="894"/>
      <c r="AU743" s="896"/>
      <c r="AV743" s="18"/>
      <c r="AW743" s="18"/>
      <c r="AX743" s="18"/>
      <c r="AY743" s="18"/>
      <c r="AZ743" s="18"/>
      <c r="BA743" s="18"/>
      <c r="BB743" s="18"/>
      <c r="BC743" s="18"/>
      <c r="BD743" s="18"/>
    </row>
    <row r="744" spans="39:56" ht="24" customHeight="1">
      <c r="AM744" s="892">
        <v>17</v>
      </c>
      <c r="AN744" s="799" t="s">
        <v>1738</v>
      </c>
      <c r="AO744" s="789"/>
      <c r="AP744" s="789"/>
      <c r="AQ744" s="789"/>
      <c r="AR744" s="116">
        <f>IF(AR$733=0,1,AR729/AR$733)</f>
        <v>16.82236842105263</v>
      </c>
      <c r="AS744" s="116">
        <f>IF(AS$733=0,1,AS729/AS$733)</f>
        <v>12.505081300813009</v>
      </c>
      <c r="AT744" s="109">
        <f>AR744-AS744</f>
        <v>4.317287120239621</v>
      </c>
      <c r="AU744" s="95">
        <f>IF(AND(AS744=0,AR744=0),0,IF(AS744&lt;&gt;0,AT744/ABS(AS744),IF(AS744=0,AT744/ABS(AR744),FLASE)))</f>
        <v>0.34524262708783315</v>
      </c>
      <c r="AV744" s="18"/>
      <c r="AW744" s="18"/>
      <c r="AX744" s="18"/>
      <c r="AY744" s="18"/>
      <c r="AZ744" s="18"/>
      <c r="BA744" s="18"/>
      <c r="BB744" s="18"/>
      <c r="BC744" s="18"/>
      <c r="BD744" s="18"/>
    </row>
    <row r="745" spans="39:56" ht="24" customHeight="1">
      <c r="AM745" s="892">
        <v>18</v>
      </c>
      <c r="AN745" s="799" t="s">
        <v>1739</v>
      </c>
      <c r="AO745" s="789"/>
      <c r="AP745" s="789"/>
      <c r="AQ745" s="897"/>
      <c r="AR745" s="116">
        <f>IF(AR$733=0,1,(AR726+AR727+AR728)/AR$733)</f>
        <v>7.323684210526316</v>
      </c>
      <c r="AS745" s="116">
        <f>IF(AS$733=0,1,(AS726+AS727+AS728)/AS$733)</f>
        <v>5.826219512195122</v>
      </c>
      <c r="AT745" s="109">
        <f>AR745-AS745</f>
        <v>1.4974646983311937</v>
      </c>
      <c r="AU745" s="95">
        <f>IF(AND(AS745=0,AR745=0),0,IF(AS745&lt;&gt;0,AT745/ABS(AS745),IF(AS745=0,AT745/ABS(AR745),FLASE)))</f>
        <v>0.2570216750667878</v>
      </c>
      <c r="AV745" s="18"/>
      <c r="AW745" s="18"/>
      <c r="AX745" s="18"/>
      <c r="AY745" s="18"/>
      <c r="AZ745" s="18"/>
      <c r="BA745" s="18"/>
      <c r="BB745" s="18"/>
      <c r="BC745" s="18"/>
      <c r="BD745" s="18"/>
    </row>
    <row r="746" spans="39:56" ht="24" customHeight="1">
      <c r="AM746" s="892">
        <v>19</v>
      </c>
      <c r="AN746" s="799" t="s">
        <v>919</v>
      </c>
      <c r="AO746" s="789"/>
      <c r="AP746" s="789"/>
      <c r="AQ746" s="789"/>
      <c r="AR746" s="116">
        <f>IF(AR$733=0,1,(AR727+AR728)/AR$733)</f>
        <v>0.16447368421052633</v>
      </c>
      <c r="AS746" s="116">
        <f>IF(AS$733=0,1,(AS727+AS728)/AS$733)</f>
        <v>0.24288617886178862</v>
      </c>
      <c r="AT746" s="109">
        <f>AR746-AS746</f>
        <v>-0.0784124946512623</v>
      </c>
      <c r="AU746" s="95">
        <f>IF(AND(AS746=0,AR746=0),0,IF(AS746&lt;&gt;0,AT746/ABS(AS746),IF(AS746=0,AT746/ABS(AR746),FLASE)))</f>
        <v>-0.32283637965205897</v>
      </c>
      <c r="AV746" s="18"/>
      <c r="AW746" s="18"/>
      <c r="AX746" s="18"/>
      <c r="AY746" s="18"/>
      <c r="AZ746" s="18"/>
      <c r="BA746" s="18"/>
      <c r="BB746" s="18"/>
      <c r="BC746" s="18"/>
      <c r="BD746" s="18"/>
    </row>
    <row r="747" spans="39:56" ht="24" customHeight="1">
      <c r="AM747" s="892">
        <v>20</v>
      </c>
      <c r="AN747" s="799" t="s">
        <v>1740</v>
      </c>
      <c r="AO747" s="789"/>
      <c r="AP747" s="789"/>
      <c r="AQ747" s="789"/>
      <c r="AR747" s="116">
        <f>IF(AR$733=0,1,AR728/AR$733)</f>
        <v>0.16447368421052633</v>
      </c>
      <c r="AS747" s="116">
        <f>IF(AS$733=0,1,AS728/AS$733)</f>
        <v>0.24288617886178862</v>
      </c>
      <c r="AT747" s="109">
        <f>AR747-AS747</f>
        <v>-0.0784124946512623</v>
      </c>
      <c r="AU747" s="95">
        <f>IF(AND(AS747=0,AR747=0),0,IF(AS747&lt;&gt;0,AT747/ABS(AS747),IF(AS747=0,AT747/ABS(AR747),FLASE)))</f>
        <v>-0.32283637965205897</v>
      </c>
      <c r="AV747" s="18"/>
      <c r="AW747" s="18"/>
      <c r="AX747" s="18"/>
      <c r="AY747" s="18"/>
      <c r="AZ747" s="18"/>
      <c r="BA747" s="18"/>
      <c r="BB747" s="18"/>
      <c r="BC747" s="18"/>
      <c r="BD747" s="18"/>
    </row>
    <row r="748" spans="39:56" ht="24" customHeight="1">
      <c r="AM748" s="887" t="s">
        <v>1741</v>
      </c>
      <c r="AN748" s="893"/>
      <c r="AO748" s="893"/>
      <c r="AP748" s="893"/>
      <c r="AQ748" s="893"/>
      <c r="AR748" s="894"/>
      <c r="AS748" s="894"/>
      <c r="AT748" s="894"/>
      <c r="AU748" s="896"/>
      <c r="AV748" s="18"/>
      <c r="AW748" s="18"/>
      <c r="AX748" s="18"/>
      <c r="AY748" s="18"/>
      <c r="AZ748" s="18"/>
      <c r="BA748" s="18"/>
      <c r="BB748" s="18"/>
      <c r="BC748" s="18"/>
      <c r="BD748" s="18"/>
    </row>
    <row r="749" spans="39:56" ht="24" customHeight="1" thickBot="1">
      <c r="AM749" s="898">
        <v>21</v>
      </c>
      <c r="AN749" s="813" t="s">
        <v>1742</v>
      </c>
      <c r="AO749" s="814"/>
      <c r="AP749" s="814"/>
      <c r="AQ749" s="814"/>
      <c r="AR749" s="899">
        <f>IF(AR733=0,1,(AR726+AR727+AR728)/AR733)</f>
        <v>7.323684210526316</v>
      </c>
      <c r="AS749" s="899">
        <f>IF(AS733=0,1,(AS726+AS727+AS728)/AS733)</f>
        <v>5.826219512195122</v>
      </c>
      <c r="AT749" s="117">
        <f>AR749-AS749</f>
        <v>1.4974646983311937</v>
      </c>
      <c r="AU749" s="900">
        <f>IF(AND(AS749=0,AR749=0),0,IF(AS749&lt;&gt;0,AT749/ABS(AS749),IF(AS749=0,AT749/ABS(AR749),FLASE)))</f>
        <v>0.2570216750667878</v>
      </c>
      <c r="AV749" s="18"/>
      <c r="AW749" s="18"/>
      <c r="AX749" s="18"/>
      <c r="AY749" s="18"/>
      <c r="AZ749" s="18"/>
      <c r="BA749" s="18"/>
      <c r="BB749" s="18"/>
      <c r="BC749" s="18"/>
      <c r="BD749" s="18"/>
    </row>
    <row r="750" spans="39:56" ht="12" customHeight="1">
      <c r="AM750" s="901"/>
      <c r="AN750" s="110"/>
      <c r="AO750" s="110"/>
      <c r="AP750" s="110"/>
      <c r="AQ750" s="110"/>
      <c r="AR750" s="902"/>
      <c r="AS750" s="902"/>
      <c r="AT750" s="902"/>
      <c r="AU750" s="903"/>
      <c r="AV750" s="62">
        <f>+' -'!$B$11</f>
      </c>
      <c r="AW750" s="18"/>
      <c r="AX750" s="18"/>
      <c r="AY750" s="18"/>
      <c r="AZ750" s="18"/>
      <c r="BA750" s="18"/>
      <c r="BB750" s="18"/>
      <c r="BC750" s="18"/>
      <c r="BD750" s="18"/>
    </row>
    <row r="751" spans="39:57" ht="21" customHeight="1">
      <c r="AM751" s="666"/>
      <c r="AN751" s="666" t="s">
        <v>1338</v>
      </c>
      <c r="AO751" s="666"/>
      <c r="AP751" s="666"/>
      <c r="AQ751" s="666"/>
      <c r="AR751" s="666"/>
      <c r="AS751" s="666"/>
      <c r="AT751" s="666"/>
      <c r="AU751" s="666"/>
      <c r="AV751" s="18"/>
      <c r="AW751" s="18"/>
      <c r="AX751" s="18"/>
      <c r="AY751" s="18"/>
      <c r="AZ751" s="18"/>
      <c r="BA751" s="74" t="s">
        <v>1727</v>
      </c>
      <c r="BB751" s="74" t="s">
        <v>2018</v>
      </c>
      <c r="BC751" s="74" t="s">
        <v>1728</v>
      </c>
      <c r="BD751" s="74" t="s">
        <v>1729</v>
      </c>
      <c r="BE751" t="s">
        <v>1615</v>
      </c>
    </row>
    <row r="752" spans="39:56" ht="21" customHeight="1">
      <c r="AM752" s="666" t="s">
        <v>1339</v>
      </c>
      <c r="AN752" s="666"/>
      <c r="AO752" s="666"/>
      <c r="AP752" s="666"/>
      <c r="AQ752" s="666"/>
      <c r="AR752" s="666"/>
      <c r="AS752" s="666"/>
      <c r="AT752" s="666"/>
      <c r="AU752" s="666"/>
      <c r="AV752" s="18"/>
      <c r="AW752" s="18"/>
      <c r="AX752" s="18"/>
      <c r="AY752" s="18"/>
      <c r="AZ752" s="18"/>
      <c r="BA752" s="74" t="s">
        <v>2137</v>
      </c>
      <c r="BB752" s="74" t="s">
        <v>2137</v>
      </c>
      <c r="BC752" s="18"/>
      <c r="BD752" s="18"/>
    </row>
    <row r="753" spans="39:57" ht="21" customHeight="1">
      <c r="AM753" s="666" t="s">
        <v>2384</v>
      </c>
      <c r="AN753" s="666"/>
      <c r="AO753" s="666"/>
      <c r="AP753" s="666"/>
      <c r="AQ753" s="666"/>
      <c r="AR753" s="666"/>
      <c r="AS753" s="666"/>
      <c r="AT753" s="666"/>
      <c r="AU753" s="823">
        <f>$AR$739</f>
        <v>16.82236842105263</v>
      </c>
      <c r="AV753" s="18"/>
      <c r="AW753" s="73" t="s">
        <v>339</v>
      </c>
      <c r="AX753" s="67"/>
      <c r="AY753" s="67"/>
      <c r="AZ753" s="67"/>
      <c r="BA753" s="18">
        <f>+AS725</f>
        <v>6572</v>
      </c>
      <c r="BB753" s="18">
        <f>+AR725</f>
        <v>7219</v>
      </c>
      <c r="BC753" s="18">
        <f>+AT725</f>
        <v>647</v>
      </c>
      <c r="BD753" s="79">
        <f>BC753/BA759</f>
        <v>0.657520325203252</v>
      </c>
      <c r="BE753" s="77">
        <f>BD753/BA760</f>
        <v>0.052580251930109706</v>
      </c>
    </row>
    <row r="754" spans="39:57" ht="21" customHeight="1">
      <c r="AM754" s="666" t="s">
        <v>1743</v>
      </c>
      <c r="AN754" s="666"/>
      <c r="AO754" s="666"/>
      <c r="AP754" s="823">
        <f>+$AS$739</f>
        <v>12.505081300813009</v>
      </c>
      <c r="AQ754" s="666" t="s">
        <v>1744</v>
      </c>
      <c r="AR754" s="666"/>
      <c r="AS754" s="666"/>
      <c r="AT754" s="823">
        <f>ABS($AT$739)</f>
        <v>4.317287120239621</v>
      </c>
      <c r="AU754" s="816" t="s">
        <v>1745</v>
      </c>
      <c r="AV754" s="18"/>
      <c r="AW754" s="73" t="s">
        <v>340</v>
      </c>
      <c r="AX754" s="67"/>
      <c r="AY754" s="67"/>
      <c r="AZ754" s="67"/>
      <c r="BA754" s="18">
        <f>+AS726</f>
        <v>5494</v>
      </c>
      <c r="BB754" s="18">
        <f>+AR726</f>
        <v>5441</v>
      </c>
      <c r="BC754" s="18">
        <f>+AT726</f>
        <v>-53</v>
      </c>
      <c r="BD754" s="79">
        <f>BC754/BA759</f>
        <v>-0.05386178861788618</v>
      </c>
      <c r="BE754" s="77">
        <f>BD754/BA760</f>
        <v>-0.004307192198293376</v>
      </c>
    </row>
    <row r="755" spans="39:57" ht="21" customHeight="1">
      <c r="AM755" s="228" t="str">
        <f>IF($AT$744&gt;=0,"повече  или","по-малко  или")</f>
        <v>повече  или</v>
      </c>
      <c r="AN755" s="666"/>
      <c r="AO755" s="904">
        <f>ABS($AU$739)</f>
        <v>0.34524262708783315</v>
      </c>
      <c r="AP755" s="666"/>
      <c r="AQ755" s="666"/>
      <c r="AR755" s="666"/>
      <c r="AS755" s="666"/>
      <c r="AT755" s="666"/>
      <c r="AU755" s="666"/>
      <c r="AV755" s="18"/>
      <c r="AW755" s="73" t="s">
        <v>341</v>
      </c>
      <c r="AX755" s="67"/>
      <c r="AY755" s="67"/>
      <c r="AZ755" s="67"/>
      <c r="BA755" s="18">
        <f>+AS727</f>
        <v>0</v>
      </c>
      <c r="BB755" s="18">
        <f>+AR727</f>
        <v>0</v>
      </c>
      <c r="BC755" s="18">
        <f>+AT727</f>
        <v>0</v>
      </c>
      <c r="BD755" s="79">
        <f>BC755/BA759</f>
        <v>0</v>
      </c>
      <c r="BE755" s="77">
        <f>BD755/BA760</f>
        <v>0</v>
      </c>
    </row>
    <row r="756" spans="39:57" ht="21" customHeight="1">
      <c r="AM756" s="666"/>
      <c r="AN756" s="666" t="s">
        <v>2371</v>
      </c>
      <c r="AO756" s="666"/>
      <c r="AP756" s="666"/>
      <c r="AQ756" s="666"/>
      <c r="AR756" s="818" t="str">
        <f>IF(AT739&gt;=0,"подобряване","в л о ш а в а н е")</f>
        <v>подобряване</v>
      </c>
      <c r="AS756" s="818"/>
      <c r="AT756" s="666" t="s">
        <v>1746</v>
      </c>
      <c r="AU756" s="666"/>
      <c r="AV756" s="18"/>
      <c r="AW756" s="73" t="s">
        <v>564</v>
      </c>
      <c r="AX756" s="18"/>
      <c r="AY756" s="18"/>
      <c r="AZ756" s="18"/>
      <c r="BA756" s="18">
        <f>+AS728</f>
        <v>239</v>
      </c>
      <c r="BB756" s="18">
        <f>+AR728</f>
        <v>125</v>
      </c>
      <c r="BC756" s="18">
        <f>+AT728</f>
        <v>-114</v>
      </c>
      <c r="BD756" s="79">
        <f>BC756/BA759</f>
        <v>-0.11585365853658537</v>
      </c>
      <c r="BE756" s="77">
        <f>BD756/BA760</f>
        <v>-0.009264526615197074</v>
      </c>
    </row>
    <row r="757" spans="39:57" ht="21" customHeight="1">
      <c r="AM757" s="666" t="s">
        <v>1747</v>
      </c>
      <c r="AN757" s="666"/>
      <c r="AO757" s="666"/>
      <c r="AP757" s="666"/>
      <c r="AQ757" s="666"/>
      <c r="AR757" s="666"/>
      <c r="AS757" s="666"/>
      <c r="AT757" s="666"/>
      <c r="AU757" s="666"/>
      <c r="AV757" s="57"/>
      <c r="AW757" s="67" t="s">
        <v>589</v>
      </c>
      <c r="AX757" s="67"/>
      <c r="AY757" s="67"/>
      <c r="AZ757" s="67" t="s">
        <v>590</v>
      </c>
      <c r="BA757" s="18">
        <f>SUM(BA753:BA756)</f>
        <v>12305</v>
      </c>
      <c r="BB757" s="18">
        <f>SUM(BB753:BB756)</f>
        <v>12785</v>
      </c>
      <c r="BC757" s="18">
        <f>SUM(BC753:BC756)</f>
        <v>480</v>
      </c>
      <c r="BD757" s="79">
        <f>SUM(BD753:BD756)</f>
        <v>0.4878048780487805</v>
      </c>
      <c r="BE757" s="77">
        <f>SUM(BE753:BE756)</f>
        <v>0.039008533116619254</v>
      </c>
    </row>
    <row r="758" spans="39:57" ht="21" customHeight="1">
      <c r="AM758" s="666"/>
      <c r="AN758" s="666"/>
      <c r="AO758" s="666"/>
      <c r="AP758" s="666"/>
      <c r="AQ758" s="666"/>
      <c r="AR758" s="666"/>
      <c r="AS758" s="822" t="s">
        <v>2138</v>
      </c>
      <c r="AT758" s="667" t="s">
        <v>580</v>
      </c>
      <c r="AU758" s="666"/>
      <c r="AV758" s="18"/>
      <c r="AW758" s="67" t="s">
        <v>592</v>
      </c>
      <c r="AX758" s="67"/>
      <c r="AY758" s="67"/>
      <c r="AZ758" s="67"/>
      <c r="BA758" s="18">
        <f>+AS730</f>
        <v>984</v>
      </c>
      <c r="BB758" s="18">
        <f>+AR730</f>
        <v>760</v>
      </c>
      <c r="BC758" s="18">
        <f>+AT730</f>
        <v>-224</v>
      </c>
      <c r="BD758" s="79">
        <f>BD759*BC758/BC759</f>
        <v>3.8294822421908408</v>
      </c>
      <c r="BE758" s="77">
        <f>BD758/BA760</f>
        <v>0.3062340939712139</v>
      </c>
    </row>
    <row r="759" spans="39:57" ht="21" customHeight="1">
      <c r="AM759" s="666">
        <v>1</v>
      </c>
      <c r="AN759" s="760" t="str">
        <f>IF(AT725&gt;=0,"Увеличаване  на","Намаляване  на")</f>
        <v>Увеличаване  на</v>
      </c>
      <c r="AO759" s="760"/>
      <c r="AP759" s="666" t="s">
        <v>1255</v>
      </c>
      <c r="AQ759" s="666"/>
      <c r="AR759" s="666"/>
      <c r="AS759" s="124">
        <f aca="true" t="shared" si="18" ref="AS759:AT762">+BD753</f>
        <v>0.657520325203252</v>
      </c>
      <c r="AT759" s="125">
        <f t="shared" si="18"/>
        <v>0.052580251930109706</v>
      </c>
      <c r="AU759" s="666"/>
      <c r="AV759" s="18"/>
      <c r="AW759" s="67"/>
      <c r="AX759" s="67"/>
      <c r="AY759" s="67"/>
      <c r="AZ759" s="67" t="s">
        <v>590</v>
      </c>
      <c r="BA759" s="18">
        <f>BA758</f>
        <v>984</v>
      </c>
      <c r="BB759" s="18">
        <f>BB758</f>
        <v>760</v>
      </c>
      <c r="BC759" s="18">
        <f>BC758</f>
        <v>-224</v>
      </c>
      <c r="BD759" s="79">
        <f>BC760-BD757</f>
        <v>3.8294822421908408</v>
      </c>
      <c r="BE759" s="119">
        <f>SUM(BE758:BE758)</f>
        <v>0.3062340939712139</v>
      </c>
    </row>
    <row r="760" spans="39:56" ht="21" customHeight="1">
      <c r="AM760" s="666">
        <v>2</v>
      </c>
      <c r="AN760" s="760" t="str">
        <f>IF(AT726&gt;=0,"Увеличаване  на","Намаляване  на")</f>
        <v>Намаляване  на</v>
      </c>
      <c r="AO760" s="760"/>
      <c r="AP760" s="666" t="s">
        <v>591</v>
      </c>
      <c r="AQ760" s="666"/>
      <c r="AR760" s="666"/>
      <c r="AS760" s="124">
        <f t="shared" si="18"/>
        <v>-0.05386178861788618</v>
      </c>
      <c r="AT760" s="125">
        <f t="shared" si="18"/>
        <v>-0.004307192198293376</v>
      </c>
      <c r="AU760" s="666"/>
      <c r="AV760" s="18"/>
      <c r="AW760" s="18"/>
      <c r="AX760" s="18"/>
      <c r="AY760" s="18"/>
      <c r="AZ760" s="18"/>
      <c r="BA760" s="79">
        <f>BA757/BA759</f>
        <v>12.505081300813009</v>
      </c>
      <c r="BB760" s="79">
        <f>BB757/BB759</f>
        <v>16.82236842105263</v>
      </c>
      <c r="BC760" s="79">
        <f>BB760-BA760</f>
        <v>4.317287120239621</v>
      </c>
      <c r="BD760" s="79"/>
    </row>
    <row r="761" spans="39:56" ht="21" customHeight="1">
      <c r="AM761" s="666">
        <v>3</v>
      </c>
      <c r="AN761" s="760" t="str">
        <f>IF(AT727&gt;=0,"Увеличаване  на","Намаляване  на")</f>
        <v>Увеличаване  на</v>
      </c>
      <c r="AO761" s="760"/>
      <c r="AP761" s="666" t="s">
        <v>1256</v>
      </c>
      <c r="AQ761" s="666"/>
      <c r="AR761" s="666"/>
      <c r="AS761" s="124">
        <f t="shared" si="18"/>
        <v>0</v>
      </c>
      <c r="AT761" s="125">
        <f t="shared" si="18"/>
        <v>0</v>
      </c>
      <c r="AU761" s="666"/>
      <c r="AV761" s="18"/>
      <c r="AW761" s="18"/>
      <c r="AX761" s="18"/>
      <c r="AY761" s="18"/>
      <c r="AZ761" s="18"/>
      <c r="BA761" s="18"/>
      <c r="BB761" s="18"/>
      <c r="BC761" s="18"/>
      <c r="BD761" s="18"/>
    </row>
    <row r="762" spans="39:56" ht="21" customHeight="1">
      <c r="AM762" s="666">
        <v>4</v>
      </c>
      <c r="AN762" s="760" t="str">
        <f>IF(AT728&gt;=0,"Увеличаване  на","Намаляване  на")</f>
        <v>Намаляване  на</v>
      </c>
      <c r="AO762" s="760"/>
      <c r="AP762" s="666" t="s">
        <v>903</v>
      </c>
      <c r="AQ762" s="666"/>
      <c r="AR762" s="666"/>
      <c r="AS762" s="124">
        <f t="shared" si="18"/>
        <v>-0.11585365853658537</v>
      </c>
      <c r="AT762" s="125">
        <f t="shared" si="18"/>
        <v>-0.009264526615197074</v>
      </c>
      <c r="AU762" s="666"/>
      <c r="AV762" s="18"/>
      <c r="AW762" s="18"/>
      <c r="AX762" s="18"/>
      <c r="AY762" s="18"/>
      <c r="AZ762" s="18"/>
      <c r="BA762" s="18"/>
      <c r="BB762" s="18"/>
      <c r="BC762" s="18"/>
      <c r="BD762" s="18"/>
    </row>
    <row r="763" spans="39:56" ht="21" customHeight="1">
      <c r="AM763" s="666">
        <v>5</v>
      </c>
      <c r="AN763" s="760" t="str">
        <f>IF(AT730&gt;=0,"Увеличаване  на","Намаляване  на")</f>
        <v>Намаляване  на</v>
      </c>
      <c r="AO763" s="760"/>
      <c r="AP763" s="666" t="s">
        <v>904</v>
      </c>
      <c r="AQ763" s="666"/>
      <c r="AR763" s="905"/>
      <c r="AS763" s="126">
        <f>AS764-SUM(AS759:AS762)</f>
        <v>3.8294822421908408</v>
      </c>
      <c r="AT763" s="127">
        <f>AT764-SUM(AT759:AT762)</f>
        <v>0.3062340939712139</v>
      </c>
      <c r="AU763" s="666"/>
      <c r="AV763" s="18"/>
      <c r="AW763" s="18"/>
      <c r="AX763" s="18"/>
      <c r="AY763" s="18"/>
      <c r="AZ763" s="18"/>
      <c r="BA763" s="18"/>
      <c r="BB763" s="18"/>
      <c r="BC763" s="18"/>
      <c r="BD763" s="18"/>
    </row>
    <row r="764" spans="39:56" ht="21" customHeight="1">
      <c r="AM764" s="666"/>
      <c r="AN764" s="666"/>
      <c r="AO764" s="666"/>
      <c r="AP764" s="666"/>
      <c r="AQ764" s="666"/>
      <c r="AR764" s="667" t="s">
        <v>2230</v>
      </c>
      <c r="AS764" s="128">
        <f>+AT739</f>
        <v>4.317287120239621</v>
      </c>
      <c r="AT764" s="129">
        <f>+AU739</f>
        <v>0.34524262708783315</v>
      </c>
      <c r="AU764" s="666"/>
      <c r="AV764" s="18"/>
      <c r="AW764" s="18"/>
      <c r="AX764" s="18"/>
      <c r="AY764" s="18"/>
      <c r="AZ764" s="18"/>
      <c r="BA764" s="18"/>
      <c r="BB764" s="18"/>
      <c r="BC764" s="18"/>
      <c r="BD764" s="18"/>
    </row>
    <row r="765" spans="39:56" ht="21" customHeight="1">
      <c r="AM765" s="871"/>
      <c r="AN765" s="871" t="s">
        <v>1265</v>
      </c>
      <c r="AO765" s="871"/>
      <c r="AP765" s="666"/>
      <c r="AQ765" s="666"/>
      <c r="AR765" s="666"/>
      <c r="AS765" s="666"/>
      <c r="AT765" s="666"/>
      <c r="AU765" s="666"/>
      <c r="AV765" s="18"/>
      <c r="AW765" s="18"/>
      <c r="AX765" s="18"/>
      <c r="AY765" s="18"/>
      <c r="AZ765" s="18"/>
      <c r="BA765" s="18"/>
      <c r="BB765" s="18"/>
      <c r="BC765" s="18"/>
      <c r="BD765" s="18"/>
    </row>
    <row r="766" spans="39:56" ht="21" customHeight="1">
      <c r="AM766" s="666" t="s">
        <v>1266</v>
      </c>
      <c r="AN766" s="666"/>
      <c r="AO766" s="666"/>
      <c r="AP766" s="666"/>
      <c r="AQ766" s="666"/>
      <c r="AR766" s="666"/>
      <c r="AS766" s="666"/>
      <c r="AT766" s="666"/>
      <c r="AU766" s="666"/>
      <c r="AV766" s="18"/>
      <c r="AW766" s="18"/>
      <c r="AX766" s="18"/>
      <c r="AY766" s="18"/>
      <c r="AZ766" s="18"/>
      <c r="BA766" s="18"/>
      <c r="BB766" s="18"/>
      <c r="BC766" s="18"/>
      <c r="BD766" s="18"/>
    </row>
    <row r="767" spans="39:57" ht="21" customHeight="1">
      <c r="AM767" s="666" t="s">
        <v>2440</v>
      </c>
      <c r="AN767" s="666"/>
      <c r="AO767" s="666"/>
      <c r="AP767" s="666"/>
      <c r="AQ767" s="666"/>
      <c r="AR767" s="666"/>
      <c r="AS767" s="666"/>
      <c r="AT767" s="823">
        <f>+AR749</f>
        <v>7.323684210526316</v>
      </c>
      <c r="AU767" s="816" t="s">
        <v>905</v>
      </c>
      <c r="AV767" s="18"/>
      <c r="AW767" s="18"/>
      <c r="AX767" s="18"/>
      <c r="AY767" s="18"/>
      <c r="AZ767" s="18"/>
      <c r="BA767" s="74" t="s">
        <v>1727</v>
      </c>
      <c r="BB767" s="74" t="s">
        <v>2018</v>
      </c>
      <c r="BC767" s="74" t="s">
        <v>1728</v>
      </c>
      <c r="BD767" s="74" t="s">
        <v>1729</v>
      </c>
      <c r="BE767" s="74" t="s">
        <v>1615</v>
      </c>
    </row>
    <row r="768" spans="39:57" ht="21" customHeight="1">
      <c r="AM768" s="666" t="s">
        <v>906</v>
      </c>
      <c r="AN768" s="666"/>
      <c r="AO768" s="666"/>
      <c r="AP768" s="823">
        <f>+AS749</f>
        <v>5.826219512195122</v>
      </c>
      <c r="AQ768" s="760" t="s">
        <v>907</v>
      </c>
      <c r="AR768" s="760"/>
      <c r="AS768" s="760"/>
      <c r="AT768" s="760"/>
      <c r="AU768" s="823">
        <f>ABS(AT749)</f>
        <v>1.4974646983311937</v>
      </c>
      <c r="AV768" s="67"/>
      <c r="AW768" s="18"/>
      <c r="AX768" s="18"/>
      <c r="AY768" s="18"/>
      <c r="AZ768" s="18"/>
      <c r="BA768" s="74" t="s">
        <v>2137</v>
      </c>
      <c r="BB768" s="74" t="s">
        <v>2137</v>
      </c>
      <c r="BC768" s="18"/>
      <c r="BD768" s="18"/>
      <c r="BE768" s="18"/>
    </row>
    <row r="769" spans="39:57" ht="21" customHeight="1">
      <c r="AM769" s="666" t="s">
        <v>908</v>
      </c>
      <c r="AN769" s="666"/>
      <c r="AO769" s="820">
        <f>ABS(AU749)</f>
        <v>0.2570216750667878</v>
      </c>
      <c r="AP769" s="228" t="str">
        <f>IF(AT749&gt;0,"повече.","по-малко.")</f>
        <v>повече.</v>
      </c>
      <c r="AQ769" s="666"/>
      <c r="AR769" s="666"/>
      <c r="AS769" s="666"/>
      <c r="AT769" s="666"/>
      <c r="AU769" s="666"/>
      <c r="AV769" s="18"/>
      <c r="AW769" s="67" t="s">
        <v>910</v>
      </c>
      <c r="AX769" s="67"/>
      <c r="AY769" s="67"/>
      <c r="AZ769" s="67"/>
      <c r="BA769" s="18">
        <f>+AS726</f>
        <v>5494</v>
      </c>
      <c r="BB769" s="18">
        <f>+AR726</f>
        <v>5441</v>
      </c>
      <c r="BC769" s="18">
        <f>+AT726</f>
        <v>-53</v>
      </c>
      <c r="BD769" s="79">
        <f>BC769/BA775</f>
        <v>-0.05386178861788618</v>
      </c>
      <c r="BE769" s="77">
        <f>BD769/BA776</f>
        <v>-0.009244723530437817</v>
      </c>
    </row>
    <row r="770" spans="39:57" ht="21" customHeight="1">
      <c r="AM770" s="666"/>
      <c r="AN770" s="666" t="s">
        <v>1211</v>
      </c>
      <c r="AO770" s="666"/>
      <c r="AP770" s="666"/>
      <c r="AQ770" s="666"/>
      <c r="AR770" s="818" t="str">
        <f>IF(AT749&gt;=0,"подобряване","в л о ш а в а н е")</f>
        <v>подобряване</v>
      </c>
      <c r="AS770" s="818"/>
      <c r="AT770" s="666" t="s">
        <v>1726</v>
      </c>
      <c r="AU770" s="666"/>
      <c r="AV770" s="18"/>
      <c r="AW770" s="67" t="s">
        <v>911</v>
      </c>
      <c r="AX770" s="67"/>
      <c r="AY770" s="67"/>
      <c r="AZ770" s="67"/>
      <c r="BA770" s="18">
        <f>+AS727</f>
        <v>0</v>
      </c>
      <c r="BB770" s="18">
        <f>+AR727</f>
        <v>0</v>
      </c>
      <c r="BC770" s="18">
        <f>+AT727</f>
        <v>0</v>
      </c>
      <c r="BD770" s="79">
        <f>BC770/BA775</f>
        <v>0</v>
      </c>
      <c r="BE770" s="77">
        <f>BD770/BA776</f>
        <v>0</v>
      </c>
    </row>
    <row r="771" spans="39:57" ht="21" customHeight="1">
      <c r="AM771" s="666" t="s">
        <v>909</v>
      </c>
      <c r="AN771" s="666"/>
      <c r="AO771" s="666"/>
      <c r="AP771" s="666"/>
      <c r="AQ771" s="666"/>
      <c r="AR771" s="666"/>
      <c r="AS771" s="666"/>
      <c r="AT771" s="666"/>
      <c r="AU771" s="666"/>
      <c r="AV771" s="62">
        <f>+' -'!$C$12</f>
      </c>
      <c r="AW771" s="67" t="s">
        <v>912</v>
      </c>
      <c r="AX771" s="67"/>
      <c r="AY771" s="67"/>
      <c r="AZ771" s="67"/>
      <c r="BA771" s="18">
        <f>+AS728</f>
        <v>239</v>
      </c>
      <c r="BB771" s="18">
        <f>+AR728</f>
        <v>125</v>
      </c>
      <c r="BC771" s="18">
        <f>+AT728</f>
        <v>-114</v>
      </c>
      <c r="BD771" s="79">
        <f>BC771/BA775</f>
        <v>-0.11585365853658537</v>
      </c>
      <c r="BE771" s="77">
        <f>BD771/BA776</f>
        <v>-0.01988487702773417</v>
      </c>
    </row>
    <row r="772" spans="39:57" ht="21" customHeight="1">
      <c r="AM772" s="666"/>
      <c r="AN772" s="666"/>
      <c r="AO772" s="666"/>
      <c r="AP772" s="666"/>
      <c r="AQ772" s="666"/>
      <c r="AR772" s="666"/>
      <c r="AS772" s="822" t="s">
        <v>2138</v>
      </c>
      <c r="AT772" s="667" t="s">
        <v>580</v>
      </c>
      <c r="AU772" s="666"/>
      <c r="AV772" s="18"/>
      <c r="AW772" s="18"/>
      <c r="AX772" s="18"/>
      <c r="AY772" s="18"/>
      <c r="AZ772" s="67" t="s">
        <v>590</v>
      </c>
      <c r="BA772" s="18">
        <f>SUM(BA769:BA771)</f>
        <v>5733</v>
      </c>
      <c r="BB772" s="18">
        <f>SUM(BB769:BB771)</f>
        <v>5566</v>
      </c>
      <c r="BC772" s="18">
        <f>SUM(BC769:BC771)</f>
        <v>-167</v>
      </c>
      <c r="BD772" s="79">
        <f>SUM(BD769:BD771)</f>
        <v>-0.16971544715447157</v>
      </c>
      <c r="BE772" s="77">
        <f>SUM(BE769:BE771)</f>
        <v>-0.029129600558171986</v>
      </c>
    </row>
    <row r="773" spans="39:57" ht="21" customHeight="1">
      <c r="AM773" s="666">
        <v>1</v>
      </c>
      <c r="AN773" s="760" t="str">
        <f>IF(AT726&gt;=0,"Увеличаване  на","Намаляване  на")</f>
        <v>Намаляване  на</v>
      </c>
      <c r="AO773" s="760"/>
      <c r="AP773" s="228" t="s">
        <v>910</v>
      </c>
      <c r="AQ773" s="666"/>
      <c r="AR773" s="666"/>
      <c r="AS773" s="124">
        <f>+BD769</f>
        <v>-0.05386178861788618</v>
      </c>
      <c r="AT773" s="125">
        <f>BE769</f>
        <v>-0.009244723530437817</v>
      </c>
      <c r="AU773" s="666"/>
      <c r="AV773" s="18"/>
      <c r="AW773" s="67" t="s">
        <v>592</v>
      </c>
      <c r="AX773" s="67"/>
      <c r="AY773" s="67"/>
      <c r="AZ773" s="67"/>
      <c r="BA773" s="18">
        <f>+AS730</f>
        <v>984</v>
      </c>
      <c r="BB773" s="18">
        <f>+AR730</f>
        <v>760</v>
      </c>
      <c r="BC773" s="18">
        <f>+AT730</f>
        <v>-224</v>
      </c>
      <c r="BD773" s="79">
        <f>BD775*BC773/BC775</f>
        <v>1.6671801454856652</v>
      </c>
      <c r="BE773" s="77">
        <f>BD773/BA776</f>
        <v>0.2861512756249598</v>
      </c>
    </row>
    <row r="774" spans="39:57" ht="21" customHeight="1">
      <c r="AM774" s="666">
        <v>2</v>
      </c>
      <c r="AN774" s="760" t="str">
        <f>IF(AT727&gt;=0,"Увеличаване  на","Намаляване  на")</f>
        <v>Увеличаване  на</v>
      </c>
      <c r="AO774" s="760"/>
      <c r="AP774" s="666" t="s">
        <v>1256</v>
      </c>
      <c r="AQ774" s="666"/>
      <c r="AR774" s="666"/>
      <c r="AS774" s="124">
        <f>+BD770</f>
        <v>0</v>
      </c>
      <c r="AT774" s="125">
        <f>BE770</f>
        <v>0</v>
      </c>
      <c r="AU774" s="666"/>
      <c r="AV774" s="18"/>
      <c r="AW774" s="67" t="s">
        <v>915</v>
      </c>
      <c r="AX774" s="67"/>
      <c r="AY774" s="67"/>
      <c r="AZ774" s="67"/>
      <c r="BA774" s="18">
        <f>+AS732</f>
        <v>0</v>
      </c>
      <c r="BB774" s="18">
        <f>+AR732</f>
        <v>0</v>
      </c>
      <c r="BC774" s="133">
        <f>+AT732</f>
        <v>0</v>
      </c>
      <c r="BD774" s="79">
        <f>BD775*BC774/BC775</f>
        <v>0</v>
      </c>
      <c r="BE774" s="77">
        <f>BD774/BA776</f>
        <v>0</v>
      </c>
    </row>
    <row r="775" spans="39:57" ht="21" customHeight="1">
      <c r="AM775" s="666">
        <v>3</v>
      </c>
      <c r="AN775" s="760" t="str">
        <f>IF(AT728&gt;=0,"Увеличаване  на","Намаляване  на")</f>
        <v>Намаляване  на</v>
      </c>
      <c r="AO775" s="760"/>
      <c r="AP775" s="228" t="s">
        <v>912</v>
      </c>
      <c r="AQ775" s="666"/>
      <c r="AR775" s="666"/>
      <c r="AS775" s="124">
        <f>+BD771</f>
        <v>-0.11585365853658537</v>
      </c>
      <c r="AT775" s="125">
        <f>BE771</f>
        <v>-0.01988487702773417</v>
      </c>
      <c r="AU775" s="666"/>
      <c r="AV775" s="18"/>
      <c r="AW775" s="18"/>
      <c r="AX775" s="18"/>
      <c r="AY775" s="18"/>
      <c r="AZ775" s="67" t="s">
        <v>590</v>
      </c>
      <c r="BA775" s="18">
        <f>SUM(BA773:BA774)</f>
        <v>984</v>
      </c>
      <c r="BB775" s="18">
        <f>SUM(BB773:BB774)</f>
        <v>760</v>
      </c>
      <c r="BC775" s="18">
        <f>SUM(BC773:BC774)</f>
        <v>-224</v>
      </c>
      <c r="BD775" s="79">
        <f>BC776-BD772</f>
        <v>1.6671801454856652</v>
      </c>
      <c r="BE775" s="119">
        <f>SUM(BE773:BE774)</f>
        <v>0.2861512756249598</v>
      </c>
    </row>
    <row r="776" spans="39:57" ht="21" customHeight="1">
      <c r="AM776" s="666">
        <v>4</v>
      </c>
      <c r="AN776" s="760" t="str">
        <f>IF(AT730&gt;=0,"Увеличаване  на","Намаляване  на")</f>
        <v>Намаляване  на</v>
      </c>
      <c r="AO776" s="760"/>
      <c r="AP776" s="666" t="s">
        <v>592</v>
      </c>
      <c r="AQ776" s="666"/>
      <c r="AR776" s="666"/>
      <c r="AS776" s="128">
        <f>+BD773</f>
        <v>1.6671801454856652</v>
      </c>
      <c r="AT776" s="125">
        <f>BE773</f>
        <v>0.2861512756249598</v>
      </c>
      <c r="AU776" s="666"/>
      <c r="AV776" s="18"/>
      <c r="AW776" s="18"/>
      <c r="AX776" s="18"/>
      <c r="AY776" s="18"/>
      <c r="AZ776" s="18"/>
      <c r="BA776" s="79">
        <f>BA772/BA775</f>
        <v>5.826219512195122</v>
      </c>
      <c r="BB776" s="79">
        <f>BB772/BB775</f>
        <v>7.323684210526316</v>
      </c>
      <c r="BC776" s="79">
        <f>BB776-BA776</f>
        <v>1.4974646983311937</v>
      </c>
      <c r="BD776" s="79">
        <f>+BD772+BD775</f>
        <v>1.4974646983311937</v>
      </c>
      <c r="BE776" s="119">
        <f>+BE772+BE775</f>
        <v>0.2570216750667878</v>
      </c>
    </row>
    <row r="777" spans="39:56" ht="21" customHeight="1">
      <c r="AM777" s="666">
        <v>5</v>
      </c>
      <c r="AN777" s="760" t="str">
        <f>IF(AT732&gt;=0,"Увеличаване  на","Намаляване  на")</f>
        <v>Увеличаване  на</v>
      </c>
      <c r="AO777" s="760"/>
      <c r="AP777" s="666" t="s">
        <v>913</v>
      </c>
      <c r="AQ777" s="666"/>
      <c r="AR777" s="229"/>
      <c r="AS777" s="826"/>
      <c r="AT777" s="825"/>
      <c r="AU777" s="666"/>
      <c r="AV777" s="18"/>
      <c r="AW777" s="18"/>
      <c r="AX777" s="18"/>
      <c r="AY777" s="18"/>
      <c r="AZ777" s="18"/>
      <c r="BA777" s="18"/>
      <c r="BB777" s="18"/>
      <c r="BC777" s="18"/>
      <c r="BD777" s="18"/>
    </row>
    <row r="778" spans="39:48" ht="21" customHeight="1">
      <c r="AM778" s="666"/>
      <c r="AN778" s="666" t="s">
        <v>914</v>
      </c>
      <c r="AO778" s="906"/>
      <c r="AP778" s="906"/>
      <c r="AQ778" s="906"/>
      <c r="AR778" s="905"/>
      <c r="AS778" s="126">
        <f>+BD774</f>
        <v>0</v>
      </c>
      <c r="AT778" s="827">
        <f>BE774</f>
        <v>0</v>
      </c>
      <c r="AU778" s="666"/>
      <c r="AV778" s="18"/>
    </row>
    <row r="779" spans="39:48" ht="21" customHeight="1">
      <c r="AM779" s="666"/>
      <c r="AN779" s="666"/>
      <c r="AO779" s="666"/>
      <c r="AP779" s="666"/>
      <c r="AQ779" s="666"/>
      <c r="AR779" s="667" t="s">
        <v>2230</v>
      </c>
      <c r="AS779" s="128">
        <f>SUM(AS773:AS778)</f>
        <v>1.4974646983311937</v>
      </c>
      <c r="AT779" s="125">
        <f>SUM(AT773:AT778)</f>
        <v>0.2570216750667878</v>
      </c>
      <c r="AU779" s="666"/>
      <c r="AV779" s="18"/>
    </row>
    <row r="780" spans="39:48" ht="21" customHeight="1">
      <c r="AM780" s="608"/>
      <c r="AN780" s="608" t="s">
        <v>1336</v>
      </c>
      <c r="AO780" s="608"/>
      <c r="AP780" s="608"/>
      <c r="AQ780" s="608"/>
      <c r="AR780" s="608"/>
      <c r="AS780" s="608"/>
      <c r="AT780" s="608"/>
      <c r="AU780" s="907">
        <f>+$AR$741</f>
        <v>0.16447368421052633</v>
      </c>
      <c r="AV780" s="18"/>
    </row>
    <row r="781" spans="39:48" ht="21" customHeight="1">
      <c r="AM781" s="608" t="s">
        <v>1334</v>
      </c>
      <c r="AN781" s="608"/>
      <c r="AO781" s="608"/>
      <c r="AP781" s="608"/>
      <c r="AQ781" s="608"/>
      <c r="AR781" s="608"/>
      <c r="AS781" s="908">
        <f>$AR$741</f>
        <v>0.16447368421052633</v>
      </c>
      <c r="AT781" s="1507" t="s">
        <v>1335</v>
      </c>
      <c r="AU781" s="1507"/>
      <c r="AV781" s="18"/>
    </row>
    <row r="782" spans="39:48" ht="21" customHeight="1">
      <c r="AM782" s="608" t="s">
        <v>1268</v>
      </c>
      <c r="AN782" s="608"/>
      <c r="AO782" s="608"/>
      <c r="AP782" s="608"/>
      <c r="AQ782" s="608"/>
      <c r="AR782" s="608"/>
      <c r="AS782" s="608"/>
      <c r="AT782" s="608"/>
      <c r="AU782" s="608"/>
      <c r="AV782" s="18"/>
    </row>
    <row r="783" spans="39:48" ht="21" customHeight="1">
      <c r="AM783" s="608" t="s">
        <v>1337</v>
      </c>
      <c r="AN783" s="608"/>
      <c r="AO783" s="608"/>
      <c r="AP783" s="608"/>
      <c r="AQ783" s="608"/>
      <c r="AR783" s="608"/>
      <c r="AS783" s="608"/>
      <c r="AT783" s="1505" t="str">
        <f>IF($AT$741&gt;=0,"н а м а л я в а","у в е л и ч а в а")</f>
        <v>у в е л и ч а в а</v>
      </c>
      <c r="AU783" s="1505"/>
      <c r="AV783" s="18"/>
    </row>
    <row r="784" spans="39:48" ht="21" customHeight="1">
      <c r="AM784" s="608" t="s">
        <v>231</v>
      </c>
      <c r="AN784" s="608"/>
      <c r="AO784" s="1506" t="str">
        <f>$AM$513</f>
        <v>"В И Н З А В О Д"  А Д - гр. АСЕНОВГРАД</v>
      </c>
      <c r="AP784" s="1506"/>
      <c r="AQ784" s="1506"/>
      <c r="AR784" s="1506"/>
      <c r="AS784" s="608" t="s">
        <v>232</v>
      </c>
      <c r="AT784" s="608"/>
      <c r="AU784" s="608"/>
      <c r="AV784" s="18"/>
    </row>
    <row r="785" spans="39:48" ht="21" customHeight="1">
      <c r="AM785" s="608" t="s">
        <v>233</v>
      </c>
      <c r="AN785" s="608"/>
      <c r="AO785" s="608"/>
      <c r="AP785" s="608"/>
      <c r="AQ785" s="608"/>
      <c r="AR785" s="608"/>
      <c r="AS785" s="608"/>
      <c r="AT785" s="1505"/>
      <c r="AU785" s="1505"/>
      <c r="AV785" s="18"/>
    </row>
    <row r="786" spans="39:48" ht="10.5" customHeight="1">
      <c r="AM786" s="666"/>
      <c r="AN786" s="666"/>
      <c r="AO786" s="666"/>
      <c r="AP786" s="666"/>
      <c r="AQ786" s="666"/>
      <c r="AR786" s="666"/>
      <c r="AS786" s="666"/>
      <c r="AT786" s="666"/>
      <c r="AU786" s="666"/>
      <c r="AV786" s="62">
        <f>+' -'!$B$11</f>
      </c>
    </row>
    <row r="787" spans="39:48" ht="19.5" customHeight="1">
      <c r="AM787" s="765" t="s">
        <v>870</v>
      </c>
      <c r="AN787" s="854"/>
      <c r="AO787" s="854"/>
      <c r="AP787" s="854"/>
      <c r="AQ787" s="854"/>
      <c r="AR787" s="854"/>
      <c r="AS787" s="854"/>
      <c r="AT787" s="760"/>
      <c r="AU787" s="608"/>
      <c r="AV787" s="18"/>
    </row>
    <row r="788" spans="39:48" ht="19.5" customHeight="1" thickBot="1">
      <c r="AM788" s="765" t="str">
        <f>AM513</f>
        <v>"В И Н З А В О Д"  А Д - гр. АСЕНОВГРАД</v>
      </c>
      <c r="AN788" s="854"/>
      <c r="AO788" s="854"/>
      <c r="AP788" s="854"/>
      <c r="AQ788" s="854"/>
      <c r="AR788" s="854"/>
      <c r="AS788" s="854"/>
      <c r="AT788" s="760"/>
      <c r="AU788" s="667" t="s">
        <v>1610</v>
      </c>
      <c r="AV788" s="18"/>
    </row>
    <row r="789" spans="39:48" ht="19.5" customHeight="1">
      <c r="AM789" s="769"/>
      <c r="AN789" s="770"/>
      <c r="AO789" s="771"/>
      <c r="AP789" s="771"/>
      <c r="AQ789" s="771"/>
      <c r="AR789" s="875" t="str">
        <f>$D$7</f>
        <v>Текуща</v>
      </c>
      <c r="AS789" s="876" t="str">
        <f>$E$7</f>
        <v>Предходна</v>
      </c>
      <c r="AT789" s="774" t="s">
        <v>1611</v>
      </c>
      <c r="AU789" s="855"/>
      <c r="AV789" s="18"/>
    </row>
    <row r="790" spans="39:48" ht="19.5" customHeight="1">
      <c r="AM790" s="776" t="s">
        <v>1612</v>
      </c>
      <c r="AN790" s="777" t="s">
        <v>1613</v>
      </c>
      <c r="AO790" s="778"/>
      <c r="AP790" s="778"/>
      <c r="AQ790" s="778"/>
      <c r="AR790" s="880" t="str">
        <f>$D$8</f>
        <v>година</v>
      </c>
      <c r="AS790" s="881" t="str">
        <f>$E$8</f>
        <v>година</v>
      </c>
      <c r="AT790" s="857"/>
      <c r="AU790" s="858"/>
      <c r="AV790" s="18"/>
    </row>
    <row r="791" spans="39:48" ht="19.5" customHeight="1" thickBot="1">
      <c r="AM791" s="782"/>
      <c r="AN791" s="783"/>
      <c r="AO791" s="784"/>
      <c r="AP791" s="784"/>
      <c r="AQ791" s="784"/>
      <c r="AR791" s="835" t="s">
        <v>1614</v>
      </c>
      <c r="AS791" s="885" t="s">
        <v>1614</v>
      </c>
      <c r="AT791" s="786" t="s">
        <v>1614</v>
      </c>
      <c r="AU791" s="787" t="s">
        <v>1615</v>
      </c>
      <c r="AV791" s="18"/>
    </row>
    <row r="792" spans="39:58" ht="19.5" customHeight="1">
      <c r="AM792" s="788" t="s">
        <v>1616</v>
      </c>
      <c r="AN792" s="839" t="s">
        <v>29</v>
      </c>
      <c r="AO792" s="839"/>
      <c r="AP792" s="839"/>
      <c r="AQ792" s="839"/>
      <c r="AR792" s="93">
        <f>IF(' -'!$B$11="",$D$164,Анализ!$AS$681)</f>
        <v>760</v>
      </c>
      <c r="AS792" s="93">
        <f>IF(' -'!$B$11="",$E$164,Анализ!$AR$681)</f>
        <v>984</v>
      </c>
      <c r="AT792" s="96">
        <f aca="true" t="shared" si="19" ref="AT792:AT809">AR792-AS792</f>
        <v>-224</v>
      </c>
      <c r="AU792" s="95">
        <f aca="true" t="shared" si="20" ref="AU792:AU809">IF(AND(AS792=0,AR792=0),0,IF(AS792&lt;&gt;0,AT792/ABS(AS792),IF(AS792=0,AT792/ABS(AR792),FLASE)))</f>
        <v>-0.22764227642276422</v>
      </c>
      <c r="BF792" s="275" t="s">
        <v>1455</v>
      </c>
    </row>
    <row r="793" spans="39:47" ht="19.5" customHeight="1">
      <c r="AM793" s="805" t="s">
        <v>2455</v>
      </c>
      <c r="AN793" s="789" t="s">
        <v>1212</v>
      </c>
      <c r="AO793" s="789"/>
      <c r="AP793" s="789"/>
      <c r="AQ793" s="789"/>
      <c r="AR793" s="207">
        <f>D141</f>
        <v>5845</v>
      </c>
      <c r="AS793" s="96">
        <f>E141</f>
        <v>3478</v>
      </c>
      <c r="AT793" s="207">
        <f t="shared" si="19"/>
        <v>2367</v>
      </c>
      <c r="AU793" s="95">
        <f t="shared" si="20"/>
        <v>0.68056354226567</v>
      </c>
    </row>
    <row r="794" spans="39:47" ht="19.5" customHeight="1">
      <c r="AM794" s="805" t="s">
        <v>819</v>
      </c>
      <c r="AN794" s="789" t="s">
        <v>53</v>
      </c>
      <c r="AO794" s="789"/>
      <c r="AP794" s="789"/>
      <c r="AQ794" s="789"/>
      <c r="AR794" s="97">
        <f>AR792+AR793</f>
        <v>6605</v>
      </c>
      <c r="AS794" s="209">
        <f>AS792+AS793</f>
        <v>4462</v>
      </c>
      <c r="AT794" s="207">
        <f t="shared" si="19"/>
        <v>2143</v>
      </c>
      <c r="AU794" s="95">
        <f t="shared" si="20"/>
        <v>0.4802779022859704</v>
      </c>
    </row>
    <row r="795" spans="39:47" ht="19.5" customHeight="1">
      <c r="AM795" s="805" t="s">
        <v>1213</v>
      </c>
      <c r="AN795" s="789" t="s">
        <v>1214</v>
      </c>
      <c r="AO795" s="789"/>
      <c r="AP795" s="789"/>
      <c r="AQ795" s="789"/>
      <c r="AR795" s="207">
        <f>$D$98</f>
        <v>21489</v>
      </c>
      <c r="AS795" s="207">
        <f>$E$98</f>
        <v>19317</v>
      </c>
      <c r="AT795" s="207">
        <f t="shared" si="19"/>
        <v>2172</v>
      </c>
      <c r="AU795" s="95">
        <f t="shared" si="20"/>
        <v>0.11243981984780245</v>
      </c>
    </row>
    <row r="796" spans="39:58" ht="19.5" customHeight="1">
      <c r="AM796" s="805" t="s">
        <v>1215</v>
      </c>
      <c r="AN796" s="789" t="s">
        <v>2454</v>
      </c>
      <c r="AO796" s="789"/>
      <c r="AP796" s="789"/>
      <c r="AQ796" s="789"/>
      <c r="AR796" s="93">
        <f>IF(' -'!$B$11="",$D$130,Анализ!$AS$801)</f>
        <v>13840</v>
      </c>
      <c r="AS796" s="93">
        <f>IF(' -'!$B$11="",$E$130,Анализ!$AR$801)</f>
        <v>13752</v>
      </c>
      <c r="AT796" s="207">
        <f t="shared" si="19"/>
        <v>88</v>
      </c>
      <c r="AU796" s="95">
        <f t="shared" si="20"/>
        <v>0.006399069226294357</v>
      </c>
      <c r="BF796" s="275" t="s">
        <v>1455</v>
      </c>
    </row>
    <row r="797" spans="39:47" ht="19.5" customHeight="1">
      <c r="AM797" s="805" t="s">
        <v>1216</v>
      </c>
      <c r="AN797" s="789" t="s">
        <v>227</v>
      </c>
      <c r="AO797" s="789"/>
      <c r="AP797" s="789"/>
      <c r="AQ797" s="789"/>
      <c r="AR797" s="97">
        <f>AR795-AR796</f>
        <v>7649</v>
      </c>
      <c r="AS797" s="209">
        <f>AS795-AS796</f>
        <v>5565</v>
      </c>
      <c r="AT797" s="207">
        <f t="shared" si="19"/>
        <v>2084</v>
      </c>
      <c r="AU797" s="95">
        <f t="shared" si="20"/>
        <v>0.37448337825696315</v>
      </c>
    </row>
    <row r="798" spans="39:47" ht="19.5" customHeight="1">
      <c r="AM798" s="805" t="s">
        <v>1217</v>
      </c>
      <c r="AN798" s="789" t="s">
        <v>818</v>
      </c>
      <c r="AO798" s="789"/>
      <c r="AP798" s="789"/>
      <c r="AQ798" s="789"/>
      <c r="AR798" s="97">
        <f>D135+D137+D138</f>
        <v>5556</v>
      </c>
      <c r="AS798" s="209">
        <f>E135+E137+E138</f>
        <v>3203</v>
      </c>
      <c r="AT798" s="207">
        <f t="shared" si="19"/>
        <v>2353</v>
      </c>
      <c r="AU798" s="95">
        <f t="shared" si="20"/>
        <v>0.7346237901966906</v>
      </c>
    </row>
    <row r="799" spans="39:47" ht="19.5" customHeight="1">
      <c r="AM799" s="805" t="s">
        <v>1218</v>
      </c>
      <c r="AN799" s="789" t="str">
        <f>$B$139</f>
        <v> Отсрочени данъци</v>
      </c>
      <c r="AO799" s="789"/>
      <c r="AP799" s="789"/>
      <c r="AQ799" s="789"/>
      <c r="AR799" s="207">
        <f>D139</f>
        <v>192</v>
      </c>
      <c r="AS799" s="207">
        <f>E139</f>
        <v>196</v>
      </c>
      <c r="AT799" s="207">
        <f t="shared" si="19"/>
        <v>-4</v>
      </c>
      <c r="AU799" s="95">
        <f t="shared" si="20"/>
        <v>-0.02040816326530612</v>
      </c>
    </row>
    <row r="800" spans="39:47" ht="19.5" customHeight="1">
      <c r="AM800" s="805">
        <v>9</v>
      </c>
      <c r="AN800" s="789" t="s">
        <v>1219</v>
      </c>
      <c r="AO800" s="789"/>
      <c r="AP800" s="789"/>
      <c r="AQ800" s="789"/>
      <c r="AR800" s="207">
        <f>D134+D140</f>
        <v>97</v>
      </c>
      <c r="AS800" s="207">
        <f>E134+E140</f>
        <v>79</v>
      </c>
      <c r="AT800" s="207">
        <f t="shared" si="19"/>
        <v>18</v>
      </c>
      <c r="AU800" s="95">
        <f t="shared" si="20"/>
        <v>0.22784810126582278</v>
      </c>
    </row>
    <row r="801" spans="39:47" ht="19.5" customHeight="1">
      <c r="AM801" s="805">
        <v>10</v>
      </c>
      <c r="AN801" s="789" t="s">
        <v>1220</v>
      </c>
      <c r="AO801" s="789"/>
      <c r="AP801" s="789"/>
      <c r="AQ801" s="789"/>
      <c r="AR801" s="97">
        <f>SUM(AR798:AR800)</f>
        <v>5845</v>
      </c>
      <c r="AS801" s="209">
        <f>SUM(AS798:AS800)</f>
        <v>3478</v>
      </c>
      <c r="AT801" s="207">
        <f t="shared" si="19"/>
        <v>2367</v>
      </c>
      <c r="AU801" s="95">
        <f t="shared" si="20"/>
        <v>0.68056354226567</v>
      </c>
    </row>
    <row r="802" spans="39:47" ht="19.5" customHeight="1">
      <c r="AM802" s="805">
        <v>11</v>
      </c>
      <c r="AN802" s="789" t="s">
        <v>1221</v>
      </c>
      <c r="AO802" s="789"/>
      <c r="AP802" s="789"/>
      <c r="AQ802" s="789"/>
      <c r="AR802" s="97">
        <f>IF(K235&gt;K194,K235-K194,0)</f>
        <v>0</v>
      </c>
      <c r="AS802" s="97">
        <f>IF(L235&gt;L194,L235-L194,0)</f>
        <v>1049</v>
      </c>
      <c r="AT802" s="207">
        <f t="shared" si="19"/>
        <v>-1049</v>
      </c>
      <c r="AU802" s="95">
        <f t="shared" si="20"/>
        <v>-1</v>
      </c>
    </row>
    <row r="803" spans="39:47" ht="19.5" customHeight="1">
      <c r="AM803" s="805">
        <v>12</v>
      </c>
      <c r="AN803" s="789" t="s">
        <v>1222</v>
      </c>
      <c r="AO803" s="789"/>
      <c r="AP803" s="789"/>
      <c r="AQ803" s="789"/>
      <c r="AR803" s="207">
        <f>K203</f>
        <v>289</v>
      </c>
      <c r="AS803" s="207">
        <f>L203</f>
        <v>210</v>
      </c>
      <c r="AT803" s="207">
        <f t="shared" si="19"/>
        <v>79</v>
      </c>
      <c r="AU803" s="95">
        <f t="shared" si="20"/>
        <v>0.3761904761904762</v>
      </c>
    </row>
    <row r="804" spans="39:58" ht="19.5" customHeight="1">
      <c r="AM804" s="805">
        <v>13</v>
      </c>
      <c r="AN804" s="789" t="s">
        <v>1146</v>
      </c>
      <c r="AO804" s="789"/>
      <c r="AP804" s="789"/>
      <c r="AQ804" s="789"/>
      <c r="AR804" s="96">
        <f>IF(' -'!$B$11="",Анализ!$K$222-$K$257,Анализ!$AS$1003)</f>
        <v>103</v>
      </c>
      <c r="AS804" s="96">
        <f>IF(' -'!$B$11="",Анализ!$L$222-$L$257,Анализ!$AR$1003)</f>
        <v>425</v>
      </c>
      <c r="AT804" s="207">
        <f t="shared" si="19"/>
        <v>-322</v>
      </c>
      <c r="AU804" s="95">
        <f t="shared" si="20"/>
        <v>-0.7576470588235295</v>
      </c>
      <c r="BF804" s="275" t="s">
        <v>1455</v>
      </c>
    </row>
    <row r="805" spans="39:47" ht="19.5" customHeight="1">
      <c r="AM805" s="805">
        <v>14</v>
      </c>
      <c r="AN805" s="789" t="s">
        <v>32</v>
      </c>
      <c r="AO805" s="789"/>
      <c r="AP805" s="789"/>
      <c r="AQ805" s="789"/>
      <c r="AR805" s="207">
        <f>D20</f>
        <v>6773</v>
      </c>
      <c r="AS805" s="207">
        <f>E20</f>
        <v>6985</v>
      </c>
      <c r="AT805" s="207">
        <f t="shared" si="19"/>
        <v>-212</v>
      </c>
      <c r="AU805" s="95">
        <f t="shared" si="20"/>
        <v>-0.03035075161059413</v>
      </c>
    </row>
    <row r="806" spans="39:47" ht="19.5" customHeight="1">
      <c r="AM806" s="805">
        <v>15</v>
      </c>
      <c r="AN806" s="789" t="s">
        <v>1223</v>
      </c>
      <c r="AO806" s="789"/>
      <c r="AP806" s="789"/>
      <c r="AQ806" s="789"/>
      <c r="AR806" s="207">
        <f>K209</f>
        <v>6807</v>
      </c>
      <c r="AS806" s="207">
        <f>L209</f>
        <v>7374</v>
      </c>
      <c r="AT806" s="207">
        <f t="shared" si="19"/>
        <v>-567</v>
      </c>
      <c r="AU806" s="95">
        <f t="shared" si="20"/>
        <v>-0.07689178193653377</v>
      </c>
    </row>
    <row r="807" spans="39:47" ht="19.5" customHeight="1">
      <c r="AM807" s="805">
        <v>16</v>
      </c>
      <c r="AN807" s="789" t="s">
        <v>1224</v>
      </c>
      <c r="AO807" s="789"/>
      <c r="AP807" s="789"/>
      <c r="AQ807" s="789"/>
      <c r="AR807" s="910">
        <f>AR794/AR795</f>
        <v>0.3073665596351622</v>
      </c>
      <c r="AS807" s="109">
        <f>AS794/AS795</f>
        <v>0.23098824869286122</v>
      </c>
      <c r="AT807" s="109">
        <f t="shared" si="19"/>
        <v>0.07637831094230096</v>
      </c>
      <c r="AU807" s="95">
        <f t="shared" si="20"/>
        <v>0.33065885981004656</v>
      </c>
    </row>
    <row r="808" spans="39:47" ht="19.5" customHeight="1">
      <c r="AM808" s="805">
        <v>17</v>
      </c>
      <c r="AN808" s="789" t="s">
        <v>185</v>
      </c>
      <c r="AO808" s="789"/>
      <c r="AP808" s="789"/>
      <c r="AQ808" s="789"/>
      <c r="AR808" s="910">
        <f>1-AR807</f>
        <v>0.6926334403648378</v>
      </c>
      <c r="AS808" s="109">
        <f>1-AS807</f>
        <v>0.7690117513071388</v>
      </c>
      <c r="AT808" s="109">
        <f t="shared" si="19"/>
        <v>-0.07637831094230108</v>
      </c>
      <c r="AU808" s="95">
        <f t="shared" si="20"/>
        <v>-0.09932008296684146</v>
      </c>
    </row>
    <row r="809" spans="39:47" ht="19.5" customHeight="1">
      <c r="AM809" s="805">
        <v>18</v>
      </c>
      <c r="AN809" s="789" t="s">
        <v>54</v>
      </c>
      <c r="AO809" s="789"/>
      <c r="AP809" s="789"/>
      <c r="AQ809" s="789"/>
      <c r="AR809" s="910">
        <f>AR794/AR796</f>
        <v>0.4772398843930636</v>
      </c>
      <c r="AS809" s="109">
        <f>AS794/AS796</f>
        <v>0.32446189645142526</v>
      </c>
      <c r="AT809" s="109">
        <f t="shared" si="19"/>
        <v>0.15277798794163833</v>
      </c>
      <c r="AU809" s="95">
        <f t="shared" si="20"/>
        <v>0.4708657306529382</v>
      </c>
    </row>
    <row r="810" spans="39:47" ht="19.5" customHeight="1">
      <c r="AM810" s="801">
        <v>19</v>
      </c>
      <c r="AN810" s="795" t="s">
        <v>186</v>
      </c>
      <c r="AO810" s="796"/>
      <c r="AP810" s="796"/>
      <c r="AQ810" s="797"/>
      <c r="AR810" s="100"/>
      <c r="AS810" s="110"/>
      <c r="AT810" s="100"/>
      <c r="AU810" s="104"/>
    </row>
    <row r="811" spans="39:47" ht="19.5" customHeight="1">
      <c r="AM811" s="807"/>
      <c r="AN811" s="799" t="s">
        <v>187</v>
      </c>
      <c r="AO811" s="789"/>
      <c r="AP811" s="789"/>
      <c r="AQ811" s="806"/>
      <c r="AR811" s="109">
        <f>AR801/AR796</f>
        <v>0.4223265895953757</v>
      </c>
      <c r="AS811" s="867">
        <f>AS801/AS796</f>
        <v>0.2529086678301338</v>
      </c>
      <c r="AT811" s="109">
        <f>AR811-AS811</f>
        <v>0.1694179217652419</v>
      </c>
      <c r="AU811" s="105">
        <f>IF(AND(AS811=0,AR811=0),0,IF(AS811&lt;&gt;0,AT811/ABS(AS811),IF(AS811=0,AT811/ABS(AR811),FLASE)))</f>
        <v>0.6698778781240962</v>
      </c>
    </row>
    <row r="812" spans="39:47" ht="19.5" customHeight="1">
      <c r="AM812" s="801">
        <v>20</v>
      </c>
      <c r="AN812" s="795" t="s">
        <v>188</v>
      </c>
      <c r="AO812" s="796"/>
      <c r="AP812" s="796"/>
      <c r="AQ812" s="797"/>
      <c r="AR812" s="100"/>
      <c r="AS812" s="100"/>
      <c r="AT812" s="100"/>
      <c r="AU812" s="104"/>
    </row>
    <row r="813" spans="39:47" ht="19.5" customHeight="1">
      <c r="AM813" s="807"/>
      <c r="AN813" s="799" t="s">
        <v>229</v>
      </c>
      <c r="AO813" s="789"/>
      <c r="AP813" s="789"/>
      <c r="AQ813" s="806"/>
      <c r="AR813" s="867">
        <f>IF(AR801=0,1,AR805/AR801)</f>
        <v>1.1587681779298546</v>
      </c>
      <c r="AS813" s="109">
        <f>IF(AS801=0,1,AS805/AS801)</f>
        <v>2.008338125359402</v>
      </c>
      <c r="AT813" s="109">
        <f>AR813-AS813</f>
        <v>-0.8495699474295475</v>
      </c>
      <c r="AU813" s="105">
        <f>IF(AND(AS813=0,AR813=0),0,IF(AS813&lt;&gt;0,AT813/ABS(AS813),IF(AS813=0,AT813/ABS(AR813),FLASE)))</f>
        <v>-0.42302137110378896</v>
      </c>
    </row>
    <row r="814" spans="39:47" ht="19.5" customHeight="1">
      <c r="AM814" s="801">
        <v>21</v>
      </c>
      <c r="AN814" s="795" t="s">
        <v>2175</v>
      </c>
      <c r="AO814" s="796"/>
      <c r="AP814" s="796"/>
      <c r="AQ814" s="797"/>
      <c r="AR814" s="100"/>
      <c r="AS814" s="100"/>
      <c r="AT814" s="100"/>
      <c r="AU814" s="104"/>
    </row>
    <row r="815" spans="39:47" ht="19.5" customHeight="1">
      <c r="AM815" s="807"/>
      <c r="AN815" s="799" t="s">
        <v>1437</v>
      </c>
      <c r="AO815" s="789"/>
      <c r="AP815" s="789"/>
      <c r="AQ815" s="806"/>
      <c r="AR815" s="911">
        <f>AR792/AR806*AR509</f>
        <v>40.19391802556192</v>
      </c>
      <c r="AS815" s="911">
        <f>AS792/AS806*AS509</f>
        <v>48.03905614320586</v>
      </c>
      <c r="AT815" s="911">
        <f>AR815-AS815</f>
        <v>-7.845138117643941</v>
      </c>
      <c r="AU815" s="105">
        <f>IF(AND(AS815=0,AR815=0),0,IF(AS815&lt;&gt;0,AT815/ABS(AS815),IF(AS815=0,AT815/ABS(AR815),FLASE)))</f>
        <v>-0.1633074990952643</v>
      </c>
    </row>
    <row r="816" spans="39:47" ht="19.5" customHeight="1">
      <c r="AM816" s="801">
        <v>22</v>
      </c>
      <c r="AN816" s="795" t="s">
        <v>1438</v>
      </c>
      <c r="AO816" s="796"/>
      <c r="AP816" s="796"/>
      <c r="AQ816" s="797"/>
      <c r="AR816" s="100"/>
      <c r="AS816" s="110"/>
      <c r="AT816" s="100"/>
      <c r="AU816" s="104"/>
    </row>
    <row r="817" spans="39:47" ht="19.5" customHeight="1">
      <c r="AM817" s="807"/>
      <c r="AN817" s="799" t="s">
        <v>1439</v>
      </c>
      <c r="AO817" s="789"/>
      <c r="AP817" s="789"/>
      <c r="AQ817" s="806"/>
      <c r="AR817" s="912">
        <f>AR796/AR795</f>
        <v>0.6440504444134209</v>
      </c>
      <c r="AS817" s="913">
        <f>AS796/AS795</f>
        <v>0.7119117875446498</v>
      </c>
      <c r="AT817" s="912">
        <f>AR817-AS817</f>
        <v>-0.06786134313122894</v>
      </c>
      <c r="AU817" s="105">
        <f>IF(AND(AS817=0,AR817=0),0,IF(AS817&lt;&gt;0,AT817/ABS(AS817),IF(AS817=0,AT817/ABS(AR817),FLASE)))</f>
        <v>-0.09532268508332965</v>
      </c>
    </row>
    <row r="818" spans="39:47" ht="19.5" customHeight="1">
      <c r="AM818" s="805">
        <v>23</v>
      </c>
      <c r="AN818" s="914" t="s">
        <v>1440</v>
      </c>
      <c r="AO818" s="789"/>
      <c r="AP818" s="789"/>
      <c r="AQ818" s="789"/>
      <c r="AR818" s="109">
        <f>IF(AR803&lt;=0,0,AR802/AR803)</f>
        <v>0</v>
      </c>
      <c r="AS818" s="109">
        <f>IF(AS803&lt;=0,0,AS802/AS803)</f>
        <v>4.995238095238095</v>
      </c>
      <c r="AT818" s="109">
        <f>AR818-AS818</f>
        <v>-4.995238095238095</v>
      </c>
      <c r="AU818" s="105">
        <f>IF(AND(AS818=0,AR818=0),0,IF(AS818&lt;&gt;0,AT818/ABS(AS818),IF(AS818=0,AT818/ABS(AR818),FLASE)))</f>
        <v>-1</v>
      </c>
    </row>
    <row r="819" spans="39:47" ht="19.5" customHeight="1">
      <c r="AM819" s="805">
        <v>24</v>
      </c>
      <c r="AN819" s="791" t="s">
        <v>2281</v>
      </c>
      <c r="AO819" s="792"/>
      <c r="AP819" s="792"/>
      <c r="AQ819" s="793"/>
      <c r="AR819" s="915">
        <f>AR804/AR795</f>
        <v>0.0047931499837125975</v>
      </c>
      <c r="AS819" s="102">
        <f>AS804/AS795</f>
        <v>0.02200134596469431</v>
      </c>
      <c r="AT819" s="102">
        <f>AR819-AS819</f>
        <v>-0.01720819598098171</v>
      </c>
      <c r="AU819" s="105">
        <f>IF(AND(AS819=0,AR819=0),0,IF(AS819&lt;&gt;0,AT819/ABS(AS819),IF(AS819=0,AT819/ABS(AR819),FLASE)))</f>
        <v>-0.7821428747402912</v>
      </c>
    </row>
    <row r="820" spans="39:47" ht="19.5" customHeight="1">
      <c r="AM820" s="805">
        <v>25</v>
      </c>
      <c r="AN820" s="789" t="s">
        <v>1278</v>
      </c>
      <c r="AO820" s="789"/>
      <c r="AP820" s="789"/>
      <c r="AQ820" s="789"/>
      <c r="AR820" s="102">
        <f>IF(AND(AR804&lt;0,AR796&lt;0),AR804/AR796*(-1),AR804/AR796)</f>
        <v>0.007442196531791907</v>
      </c>
      <c r="AS820" s="102">
        <f>IF(AND(AS804&lt;0,AS796&lt;0),AS804/AS796*(-1),AS804/AS796)</f>
        <v>0.03090459569517161</v>
      </c>
      <c r="AT820" s="102">
        <f>AR820-AS820</f>
        <v>-0.023462399163379704</v>
      </c>
      <c r="AU820" s="105">
        <f>IF(AND(AS820=0,AR820=0),0,IF(AS820&lt;&gt;0,AT820/ABS(AS820),IF(AS820=0,AT820/ABS(AR820),FLASE)))</f>
        <v>-0.759188031281877</v>
      </c>
    </row>
    <row r="821" spans="39:47" ht="19.5" customHeight="1">
      <c r="AM821" s="916">
        <v>26</v>
      </c>
      <c r="AN821" s="795" t="s">
        <v>1279</v>
      </c>
      <c r="AO821" s="796"/>
      <c r="AP821" s="796"/>
      <c r="AQ821" s="797"/>
      <c r="AR821" s="917"/>
      <c r="AS821" s="380"/>
      <c r="AT821" s="380"/>
      <c r="AU821" s="115"/>
    </row>
    <row r="822" spans="39:47" ht="19.5" customHeight="1">
      <c r="AM822" s="805"/>
      <c r="AN822" s="799" t="s">
        <v>1280</v>
      </c>
      <c r="AO822" s="789"/>
      <c r="AP822" s="789"/>
      <c r="AQ822" s="806"/>
      <c r="AR822" s="918">
        <f>+AR797/AR796</f>
        <v>0.5526734104046243</v>
      </c>
      <c r="AS822" s="912">
        <f>+AS797/AS796</f>
        <v>0.40466841186736474</v>
      </c>
      <c r="AT822" s="912">
        <f>AR822-AS822</f>
        <v>0.1480049985372595</v>
      </c>
      <c r="AU822" s="105">
        <f>IF(AND(AS822=0,AR822=0),0,IF(AS822&lt;&gt;0,AT822/ABS(AS822),IF(AS822=0,AT822/ABS(AR822),FLASE)))</f>
        <v>0.36574388856862405</v>
      </c>
    </row>
    <row r="823" spans="39:47" ht="19.5" customHeight="1" thickBot="1">
      <c r="AM823" s="919">
        <v>27</v>
      </c>
      <c r="AN823" s="920" t="s">
        <v>1283</v>
      </c>
      <c r="AO823" s="814"/>
      <c r="AP823" s="814"/>
      <c r="AQ823" s="814"/>
      <c r="AR823" s="921">
        <f>AR794/(AR794+AR796)</f>
        <v>0.3230618733186598</v>
      </c>
      <c r="AS823" s="117">
        <f>AS794/(AS794+AS796)</f>
        <v>0.24497639178653782</v>
      </c>
      <c r="AT823" s="117">
        <f>AR823-AS823</f>
        <v>0.078085481532122</v>
      </c>
      <c r="AU823" s="118">
        <f>IF(AND(AS823=0,AR823=0),0,IF(AS823&lt;&gt;0,AT823/ABS(AS823),IF(AS823=0,AT823/ABS(AR823),FLASE)))</f>
        <v>0.31874696562664057</v>
      </c>
    </row>
    <row r="824" spans="39:48" ht="11.25" customHeight="1">
      <c r="AM824" s="922"/>
      <c r="AN824" s="923"/>
      <c r="AO824" s="229"/>
      <c r="AP824" s="229"/>
      <c r="AQ824" s="229"/>
      <c r="AR824" s="826"/>
      <c r="AS824" s="826"/>
      <c r="AT824" s="826"/>
      <c r="AU824" s="870"/>
      <c r="AV824" s="62">
        <f>+' -'!$B$11</f>
      </c>
    </row>
    <row r="825" spans="39:47" ht="24" customHeight="1">
      <c r="AM825" s="666"/>
      <c r="AN825" s="666" t="s">
        <v>901</v>
      </c>
      <c r="AO825" s="666"/>
      <c r="AP825" s="666"/>
      <c r="AQ825" s="666"/>
      <c r="AR825" s="666"/>
      <c r="AS825" s="666"/>
      <c r="AT825" s="666"/>
      <c r="AU825" s="666"/>
    </row>
    <row r="826" spans="39:47" ht="24" customHeight="1">
      <c r="AM826" s="666"/>
      <c r="AN826" s="924" t="s">
        <v>902</v>
      </c>
      <c r="AO826" s="666"/>
      <c r="AP826" s="820"/>
      <c r="AQ826" s="760"/>
      <c r="AR826" s="666"/>
      <c r="AS826" s="666"/>
      <c r="AT826" s="666"/>
      <c r="AU826" s="823">
        <f>+AS809</f>
        <v>0.32446189645142526</v>
      </c>
    </row>
    <row r="827" spans="39:47" ht="24" customHeight="1">
      <c r="AM827" s="666" t="s">
        <v>835</v>
      </c>
      <c r="AN827" s="823"/>
      <c r="AO827" s="666"/>
      <c r="AP827" s="820"/>
      <c r="AQ827" s="666"/>
      <c r="AR827" s="823">
        <f>+AR809</f>
        <v>0.4772398843930636</v>
      </c>
      <c r="AS827" s="666" t="s">
        <v>836</v>
      </c>
      <c r="AT827" s="666"/>
      <c r="AU827" s="823">
        <f>ABS(AT809)</f>
        <v>0.15277798794163833</v>
      </c>
    </row>
    <row r="828" spans="39:47" ht="24" customHeight="1">
      <c r="AM828" s="666" t="s">
        <v>853</v>
      </c>
      <c r="AN828" s="823"/>
      <c r="AO828" s="820">
        <f>ABS(AU809)</f>
        <v>0.4708657306529382</v>
      </c>
      <c r="AP828" s="228" t="str">
        <f>IF(AT809&gt;=0,"повече.","по-малко.")</f>
        <v>повече.</v>
      </c>
      <c r="AQ828" s="760"/>
      <c r="AR828" s="666"/>
      <c r="AS828" s="666"/>
      <c r="AT828" s="666"/>
      <c r="AU828" s="666"/>
    </row>
    <row r="829" spans="39:47" ht="24" customHeight="1">
      <c r="AM829" s="666"/>
      <c r="AN829" s="666" t="s">
        <v>2176</v>
      </c>
      <c r="AO829" s="666"/>
      <c r="AP829" s="666"/>
      <c r="AQ829" s="666"/>
      <c r="AR829" s="666"/>
      <c r="AS829" s="823">
        <f>+AR811</f>
        <v>0.4223265895953757</v>
      </c>
      <c r="AT829" s="228" t="s">
        <v>2177</v>
      </c>
      <c r="AU829" s="666"/>
    </row>
    <row r="830" spans="39:47" ht="24" customHeight="1">
      <c r="AM830" s="666" t="s">
        <v>2178</v>
      </c>
      <c r="AN830" s="666"/>
      <c r="AO830" s="666"/>
      <c r="AP830" s="666"/>
      <c r="AQ830" s="823">
        <f>ABS(AT811)</f>
        <v>0.1694179217652419</v>
      </c>
      <c r="AR830" s="666" t="s">
        <v>2235</v>
      </c>
      <c r="AS830" s="820">
        <f>ABS(AU811)</f>
        <v>0.6698778781240962</v>
      </c>
      <c r="AT830" s="760" t="str">
        <f>IF(AT811&gt;=0,"повече  от","по-малко  от")</f>
        <v>повече  от</v>
      </c>
      <c r="AU830" s="760"/>
    </row>
    <row r="831" spans="39:47" ht="24" customHeight="1">
      <c r="AM831" s="228" t="s">
        <v>83</v>
      </c>
      <c r="AN831" s="666"/>
      <c r="AO831" s="666"/>
      <c r="AP831" s="666"/>
      <c r="AQ831" s="820"/>
      <c r="AR831" s="760"/>
      <c r="AS831" s="228"/>
      <c r="AT831" s="666"/>
      <c r="AU831" s="760"/>
    </row>
    <row r="832" spans="39:47" ht="24" customHeight="1">
      <c r="AM832" s="666"/>
      <c r="AN832" s="666" t="s">
        <v>2238</v>
      </c>
      <c r="AO832" s="666"/>
      <c r="AP832" s="666"/>
      <c r="AQ832" s="666"/>
      <c r="AR832" s="820"/>
      <c r="AS832" s="760"/>
      <c r="AT832" s="666"/>
      <c r="AU832" s="666"/>
    </row>
    <row r="833" spans="39:47" ht="24" customHeight="1">
      <c r="AM833" s="666" t="s">
        <v>2318</v>
      </c>
      <c r="AN833" s="666"/>
      <c r="AO833" s="666"/>
      <c r="AP833" s="666"/>
      <c r="AQ833" s="666"/>
      <c r="AR833" s="820"/>
      <c r="AS833" s="760"/>
      <c r="AT833" s="666"/>
      <c r="AU833" s="666"/>
    </row>
    <row r="834" spans="39:47" ht="24" customHeight="1">
      <c r="AM834" s="666"/>
      <c r="AN834" s="666" t="s">
        <v>2182</v>
      </c>
      <c r="AO834" s="666"/>
      <c r="AP834" s="666"/>
      <c r="AQ834" s="666"/>
      <c r="AR834" s="666"/>
      <c r="AS834" s="666"/>
      <c r="AT834" s="823">
        <f>+AR813</f>
        <v>1.1587681779298546</v>
      </c>
      <c r="AU834" s="760" t="s">
        <v>2183</v>
      </c>
    </row>
    <row r="835" spans="39:47" ht="24" customHeight="1">
      <c r="AM835" s="666" t="s">
        <v>1174</v>
      </c>
      <c r="AN835" s="666"/>
      <c r="AO835" s="666"/>
      <c r="AP835" s="666"/>
      <c r="AQ835" s="666"/>
      <c r="AR835" s="823">
        <f>ABS(AT813)</f>
        <v>0.8495699474295475</v>
      </c>
      <c r="AS835" s="666" t="s">
        <v>2235</v>
      </c>
      <c r="AT835" s="820">
        <f>ABS(AU813)</f>
        <v>0.42302137110378896</v>
      </c>
      <c r="AU835" s="760" t="str">
        <f>IF(AT813&gt;0,"повече","по-малко")</f>
        <v>по-малко</v>
      </c>
    </row>
    <row r="836" spans="39:47" ht="24" customHeight="1">
      <c r="AM836" s="925" t="s">
        <v>2236</v>
      </c>
      <c r="AN836" s="923"/>
      <c r="AO836" s="229"/>
      <c r="AP836" s="666"/>
      <c r="AQ836" s="666"/>
      <c r="AR836" s="666"/>
      <c r="AS836" s="666"/>
      <c r="AT836" s="826"/>
      <c r="AU836" s="870"/>
    </row>
    <row r="837" spans="39:47" ht="24" customHeight="1">
      <c r="AM837" s="666"/>
      <c r="AN837" s="666" t="s">
        <v>1175</v>
      </c>
      <c r="AO837" s="666"/>
      <c r="AP837" s="666"/>
      <c r="AQ837" s="666"/>
      <c r="AR837" s="666"/>
      <c r="AS837" s="823">
        <f>+AR818</f>
        <v>0</v>
      </c>
      <c r="AT837" s="760" t="s">
        <v>1176</v>
      </c>
      <c r="AU837" s="760"/>
    </row>
    <row r="838" spans="39:47" ht="24" customHeight="1">
      <c r="AM838" s="925" t="s">
        <v>1177</v>
      </c>
      <c r="AN838" s="923"/>
      <c r="AO838" s="229"/>
      <c r="AP838" s="666"/>
      <c r="AQ838" s="666"/>
      <c r="AR838" s="823">
        <f>ABS(AT818)</f>
        <v>4.995238095238095</v>
      </c>
      <c r="AS838" s="666" t="s">
        <v>2235</v>
      </c>
      <c r="AT838" s="820">
        <f>ABS(AU818)</f>
        <v>1</v>
      </c>
      <c r="AU838" s="760" t="str">
        <f>IF(AT818&gt;0,"повече","по-малко")</f>
        <v>по-малко</v>
      </c>
    </row>
    <row r="839" spans="39:47" ht="24" customHeight="1">
      <c r="AM839" s="925" t="s">
        <v>2236</v>
      </c>
      <c r="AN839" s="923"/>
      <c r="AO839" s="229"/>
      <c r="AP839" s="666"/>
      <c r="AQ839" s="666"/>
      <c r="AR839" s="666"/>
      <c r="AS839" s="820"/>
      <c r="AT839" s="760"/>
      <c r="AU839" s="870"/>
    </row>
    <row r="840" spans="39:47" ht="24" customHeight="1">
      <c r="AM840" s="666"/>
      <c r="AN840" s="666" t="s">
        <v>1178</v>
      </c>
      <c r="AO840" s="666"/>
      <c r="AP840" s="666"/>
      <c r="AQ840" s="666"/>
      <c r="AR840" s="666"/>
      <c r="AS840" s="666"/>
      <c r="AT840" s="666"/>
      <c r="AU840" s="666"/>
    </row>
    <row r="841" spans="39:47" ht="24" customHeight="1">
      <c r="AM841" s="666" t="s">
        <v>1179</v>
      </c>
      <c r="AN841" s="666"/>
      <c r="AO841" s="666"/>
      <c r="AP841" s="666"/>
      <c r="AQ841" s="666"/>
      <c r="AR841" s="666"/>
      <c r="AS841" s="666"/>
      <c r="AT841" s="666"/>
      <c r="AU841" s="666"/>
    </row>
    <row r="842" spans="39:47" ht="24" customHeight="1">
      <c r="AM842" s="666" t="s">
        <v>1477</v>
      </c>
      <c r="AN842" s="666"/>
      <c r="AO842" s="666"/>
      <c r="AP842" s="666"/>
      <c r="AQ842" s="666"/>
      <c r="AR842" s="666"/>
      <c r="AS842" s="666"/>
      <c r="AT842" s="666"/>
      <c r="AU842" s="666"/>
    </row>
    <row r="843" spans="39:47" ht="24" customHeight="1">
      <c r="AM843" s="666" t="s">
        <v>328</v>
      </c>
      <c r="AN843" s="666"/>
      <c r="AO843" s="666"/>
      <c r="AP843" s="666"/>
      <c r="AQ843" s="666"/>
      <c r="AR843" s="666"/>
      <c r="AS843" s="666"/>
      <c r="AT843" s="666"/>
      <c r="AU843" s="666"/>
    </row>
    <row r="844" spans="39:47" ht="24" customHeight="1">
      <c r="AM844" s="666" t="s">
        <v>329</v>
      </c>
      <c r="AN844" s="666"/>
      <c r="AO844" s="666"/>
      <c r="AP844" s="666"/>
      <c r="AQ844" s="666"/>
      <c r="AR844" s="666"/>
      <c r="AS844" s="666"/>
      <c r="AT844" s="666"/>
      <c r="AU844" s="666"/>
    </row>
    <row r="845" spans="39:60" ht="24" customHeight="1">
      <c r="AM845" s="666"/>
      <c r="AN845" s="666" t="s">
        <v>221</v>
      </c>
      <c r="AO845" s="666"/>
      <c r="AP845" s="666"/>
      <c r="AQ845" s="666"/>
      <c r="AR845" s="666"/>
      <c r="AS845" s="823">
        <f>+AS822</f>
        <v>0.40466841186736474</v>
      </c>
      <c r="AT845" s="760" t="s">
        <v>222</v>
      </c>
      <c r="AU845" s="760"/>
      <c r="BF845" s="600" t="str">
        <f>+' -'!$E$21</f>
        <v>Програмата за финансов анализ е лицензирана на:</v>
      </c>
      <c r="BG845" s="582"/>
      <c r="BH845" s="582"/>
    </row>
    <row r="846" spans="39:60" ht="24" customHeight="1">
      <c r="AM846" s="666" t="s">
        <v>939</v>
      </c>
      <c r="AN846" s="666"/>
      <c r="AO846" s="666"/>
      <c r="AP846" s="666"/>
      <c r="AQ846" s="823">
        <f>ABS(AR822)</f>
        <v>0.5526734104046243</v>
      </c>
      <c r="AR846" s="816" t="s">
        <v>940</v>
      </c>
      <c r="AS846" s="823">
        <f>ABS(AT822)</f>
        <v>0.1480049985372595</v>
      </c>
      <c r="AT846" s="816" t="s">
        <v>1745</v>
      </c>
      <c r="AU846" s="760" t="str">
        <f>IF(AT822&gt;0,"повече.","по-малко.")</f>
        <v>повече.</v>
      </c>
      <c r="BF846" s="601"/>
      <c r="BG846" s="10"/>
      <c r="BH846" s="10"/>
    </row>
    <row r="847" spans="39:60" ht="24" customHeight="1">
      <c r="AM847" s="666"/>
      <c r="AN847" s="666" t="s">
        <v>55</v>
      </c>
      <c r="AO847" s="666"/>
      <c r="AP847" s="666"/>
      <c r="AQ847" s="666"/>
      <c r="AR847" s="666"/>
      <c r="AS847" s="666"/>
      <c r="AT847" s="666"/>
      <c r="AU847" s="666"/>
      <c r="BF847" s="600" t="str">
        <f>+' -'!$E$22</f>
        <v>"В И Н З А В О Д"  А Д - гр. АСЕНОВГРАД</v>
      </c>
      <c r="BG847" s="581"/>
      <c r="BH847" s="581"/>
    </row>
    <row r="848" spans="39:47" ht="24" customHeight="1">
      <c r="AM848" s="926" t="s">
        <v>2274</v>
      </c>
      <c r="AN848" s="666"/>
      <c r="AO848" s="666"/>
      <c r="AP848" s="666"/>
      <c r="AQ848" s="666"/>
      <c r="AR848" s="666"/>
      <c r="AS848" s="666"/>
      <c r="AT848" s="666"/>
      <c r="AU848" s="666"/>
    </row>
    <row r="849" spans="39:47" ht="24" customHeight="1">
      <c r="AM849" s="666" t="s">
        <v>56</v>
      </c>
      <c r="AN849" s="666"/>
      <c r="AO849" s="666"/>
      <c r="AP849" s="666"/>
      <c r="AQ849" s="666"/>
      <c r="AR849" s="666"/>
      <c r="AS849" s="666"/>
      <c r="AT849" s="666"/>
      <c r="AU849" s="666"/>
    </row>
    <row r="850" spans="39:47" ht="24" customHeight="1">
      <c r="AM850" s="666"/>
      <c r="AN850" s="666" t="s">
        <v>314</v>
      </c>
      <c r="AO850" s="666"/>
      <c r="AP850" s="666"/>
      <c r="AQ850" s="666"/>
      <c r="AR850" s="666"/>
      <c r="AS850" s="666"/>
      <c r="AT850" s="666"/>
      <c r="AU850" s="666"/>
    </row>
    <row r="851" spans="39:47" ht="24" customHeight="1">
      <c r="AM851" s="666" t="s">
        <v>315</v>
      </c>
      <c r="AN851" s="666"/>
      <c r="AO851" s="666"/>
      <c r="AP851" s="666"/>
      <c r="AQ851" s="666"/>
      <c r="AR851" s="666"/>
      <c r="AS851" s="666"/>
      <c r="AT851" s="666"/>
      <c r="AU851" s="666"/>
    </row>
    <row r="852" spans="39:47" ht="24" customHeight="1">
      <c r="AM852" s="666" t="s">
        <v>224</v>
      </c>
      <c r="AN852" s="666"/>
      <c r="AO852" s="666"/>
      <c r="AP852" s="666"/>
      <c r="AQ852" s="666"/>
      <c r="AR852" s="666"/>
      <c r="AS852" s="666"/>
      <c r="AT852" s="666"/>
      <c r="AU852" s="666"/>
    </row>
    <row r="853" spans="39:47" ht="24" customHeight="1">
      <c r="AM853" s="666"/>
      <c r="AN853" s="666" t="s">
        <v>225</v>
      </c>
      <c r="AO853" s="666"/>
      <c r="AP853" s="666"/>
      <c r="AQ853" s="666"/>
      <c r="AR853" s="666"/>
      <c r="AS853" s="823">
        <f>+AS823</f>
        <v>0.24497639178653782</v>
      </c>
      <c r="AT853" s="760" t="s">
        <v>222</v>
      </c>
      <c r="AU853" s="760"/>
    </row>
    <row r="854" spans="39:47" ht="24" customHeight="1">
      <c r="AM854" s="666" t="s">
        <v>226</v>
      </c>
      <c r="AN854" s="666"/>
      <c r="AO854" s="666"/>
      <c r="AP854" s="666"/>
      <c r="AQ854" s="823">
        <f>+AR823</f>
        <v>0.3230618733186598</v>
      </c>
      <c r="AR854" s="816" t="s">
        <v>223</v>
      </c>
      <c r="AS854" s="823">
        <f>ABS(AT823)</f>
        <v>0.078085481532122</v>
      </c>
      <c r="AT854" s="816" t="s">
        <v>1745</v>
      </c>
      <c r="AU854" s="760" t="str">
        <f>IF(AT823&gt;0,"повече.","по-малко.")</f>
        <v>повече.</v>
      </c>
    </row>
    <row r="855" spans="39:48" ht="17.25" customHeight="1">
      <c r="AM855" s="608"/>
      <c r="AN855" s="608"/>
      <c r="AO855" s="608"/>
      <c r="AP855" s="608"/>
      <c r="AQ855" s="608"/>
      <c r="AR855" s="608"/>
      <c r="AS855" s="608"/>
      <c r="AT855" s="608"/>
      <c r="AU855" s="608"/>
      <c r="AV855" s="62">
        <f>+' -'!$B$11</f>
      </c>
    </row>
    <row r="856" spans="39:47" ht="15.75" customHeight="1">
      <c r="AM856" s="765" t="s">
        <v>871</v>
      </c>
      <c r="AN856" s="854"/>
      <c r="AO856" s="854"/>
      <c r="AP856" s="854"/>
      <c r="AQ856" s="854"/>
      <c r="AR856" s="854"/>
      <c r="AS856" s="854"/>
      <c r="AT856" s="760"/>
      <c r="AU856" s="608"/>
    </row>
    <row r="857" spans="39:47" ht="15.75" customHeight="1" thickBot="1">
      <c r="AM857" s="765" t="str">
        <f>AM513</f>
        <v>"В И Н З А В О Д"  А Д - гр. АСЕНОВГРАД</v>
      </c>
      <c r="AN857" s="854"/>
      <c r="AO857" s="854"/>
      <c r="AP857" s="854"/>
      <c r="AQ857" s="854"/>
      <c r="AR857" s="854"/>
      <c r="AS857" s="854"/>
      <c r="AT857" s="760"/>
      <c r="AU857" s="667" t="s">
        <v>1610</v>
      </c>
    </row>
    <row r="858" spans="39:47" ht="15.75" customHeight="1">
      <c r="AM858" s="872"/>
      <c r="AN858" s="873"/>
      <c r="AO858" s="874"/>
      <c r="AP858" s="874"/>
      <c r="AQ858" s="874"/>
      <c r="AR858" s="875" t="str">
        <f>$D$7</f>
        <v>Текуща</v>
      </c>
      <c r="AS858" s="876" t="str">
        <f>$E$7</f>
        <v>Предходна</v>
      </c>
      <c r="AT858" s="774" t="s">
        <v>1611</v>
      </c>
      <c r="AU858" s="855"/>
    </row>
    <row r="859" spans="39:47" ht="15.75" customHeight="1">
      <c r="AM859" s="877" t="s">
        <v>1612</v>
      </c>
      <c r="AN859" s="927" t="s">
        <v>2291</v>
      </c>
      <c r="AO859" s="879"/>
      <c r="AP859" s="879"/>
      <c r="AQ859" s="879"/>
      <c r="AR859" s="880" t="str">
        <f>$D$8</f>
        <v>година</v>
      </c>
      <c r="AS859" s="881" t="str">
        <f>$E$8</f>
        <v>година</v>
      </c>
      <c r="AT859" s="857"/>
      <c r="AU859" s="858"/>
    </row>
    <row r="860" spans="39:47" ht="15.75" customHeight="1" thickBot="1">
      <c r="AM860" s="882"/>
      <c r="AN860" s="883"/>
      <c r="AO860" s="884"/>
      <c r="AP860" s="884"/>
      <c r="AQ860" s="884"/>
      <c r="AR860" s="835" t="s">
        <v>1614</v>
      </c>
      <c r="AS860" s="885" t="s">
        <v>1614</v>
      </c>
      <c r="AT860" s="786" t="s">
        <v>1614</v>
      </c>
      <c r="AU860" s="787" t="s">
        <v>1615</v>
      </c>
    </row>
    <row r="861" spans="39:48" ht="15.75" customHeight="1">
      <c r="AM861" s="805">
        <v>1</v>
      </c>
      <c r="AN861" s="789" t="str">
        <f>B153</f>
        <v> Задължения към свързани предприятия</v>
      </c>
      <c r="AO861" s="789"/>
      <c r="AP861" s="789"/>
      <c r="AQ861" s="789"/>
      <c r="AR861" s="96">
        <f>D153</f>
        <v>5</v>
      </c>
      <c r="AS861" s="96">
        <f>E153</f>
        <v>0</v>
      </c>
      <c r="AT861" s="96">
        <f aca="true" t="shared" si="21" ref="AT861:AT871">AR861-AS861</f>
        <v>5</v>
      </c>
      <c r="AU861" s="105">
        <f aca="true" t="shared" si="22" ref="AU861:AU871">IF(AND(AS861=0,AR861=0),0,IF(AS861&lt;&gt;0,AT861/ABS(AS861),IF(AS861=0,AT861/ABS(AR861),FLASE)))</f>
        <v>1</v>
      </c>
      <c r="AV861" s="64"/>
    </row>
    <row r="862" spans="39:47" ht="15.75" customHeight="1">
      <c r="AM862" s="805">
        <v>2</v>
      </c>
      <c r="AN862" s="789" t="s">
        <v>1546</v>
      </c>
      <c r="AO862" s="789"/>
      <c r="AP862" s="789"/>
      <c r="AQ862" s="789"/>
      <c r="AR862" s="96">
        <f>D154</f>
        <v>0</v>
      </c>
      <c r="AS862" s="96">
        <f>E154</f>
        <v>0</v>
      </c>
      <c r="AT862" s="96">
        <f t="shared" si="21"/>
        <v>0</v>
      </c>
      <c r="AU862" s="105">
        <f t="shared" si="22"/>
        <v>0</v>
      </c>
    </row>
    <row r="863" spans="39:47" ht="15.75" customHeight="1">
      <c r="AM863" s="805">
        <v>3</v>
      </c>
      <c r="AN863" s="789" t="s">
        <v>1547</v>
      </c>
      <c r="AO863" s="789"/>
      <c r="AP863" s="789"/>
      <c r="AQ863" s="789"/>
      <c r="AR863" s="96">
        <f>D157</f>
        <v>0</v>
      </c>
      <c r="AS863" s="96">
        <f>E157</f>
        <v>0</v>
      </c>
      <c r="AT863" s="96">
        <f t="shared" si="21"/>
        <v>0</v>
      </c>
      <c r="AU863" s="105">
        <f t="shared" si="22"/>
        <v>0</v>
      </c>
    </row>
    <row r="864" spans="39:47" ht="15.75" customHeight="1">
      <c r="AM864" s="805">
        <v>4</v>
      </c>
      <c r="AN864" s="789" t="s">
        <v>1486</v>
      </c>
      <c r="AO864" s="789"/>
      <c r="AP864" s="789"/>
      <c r="AQ864" s="789"/>
      <c r="AR864" s="96">
        <f>D156</f>
        <v>407</v>
      </c>
      <c r="AS864" s="96">
        <f>E156</f>
        <v>523</v>
      </c>
      <c r="AT864" s="96">
        <f t="shared" si="21"/>
        <v>-116</v>
      </c>
      <c r="AU864" s="105">
        <f t="shared" si="22"/>
        <v>-0.22179732313575526</v>
      </c>
    </row>
    <row r="865" spans="39:48" ht="15.75" customHeight="1">
      <c r="AM865" s="805">
        <v>5</v>
      </c>
      <c r="AN865" s="789" t="str">
        <f>B162</f>
        <v> Получени аванси</v>
      </c>
      <c r="AO865" s="789"/>
      <c r="AP865" s="789"/>
      <c r="AQ865" s="789"/>
      <c r="AR865" s="96">
        <f>D162</f>
        <v>9</v>
      </c>
      <c r="AS865" s="96">
        <f>E162</f>
        <v>5</v>
      </c>
      <c r="AT865" s="96">
        <f t="shared" si="21"/>
        <v>4</v>
      </c>
      <c r="AU865" s="105">
        <f t="shared" si="22"/>
        <v>0.8</v>
      </c>
      <c r="AV865" s="64"/>
    </row>
    <row r="866" spans="39:47" ht="15.75" customHeight="1">
      <c r="AM866" s="805">
        <v>6</v>
      </c>
      <c r="AN866" s="789" t="s">
        <v>261</v>
      </c>
      <c r="AO866" s="789"/>
      <c r="AP866" s="789"/>
      <c r="AQ866" s="789"/>
      <c r="AR866" s="96">
        <f>D160</f>
        <v>146</v>
      </c>
      <c r="AS866" s="96">
        <f>E160</f>
        <v>323</v>
      </c>
      <c r="AT866" s="96">
        <f t="shared" si="21"/>
        <v>-177</v>
      </c>
      <c r="AU866" s="105">
        <f t="shared" si="22"/>
        <v>-0.5479876160990712</v>
      </c>
    </row>
    <row r="867" spans="39:47" ht="15.75" customHeight="1">
      <c r="AM867" s="805">
        <v>7</v>
      </c>
      <c r="AN867" s="789" t="s">
        <v>1487</v>
      </c>
      <c r="AO867" s="789"/>
      <c r="AP867" s="789"/>
      <c r="AQ867" s="789"/>
      <c r="AR867" s="96">
        <f>D158</f>
        <v>109</v>
      </c>
      <c r="AS867" s="96">
        <f>E158</f>
        <v>73</v>
      </c>
      <c r="AT867" s="96">
        <f t="shared" si="21"/>
        <v>36</v>
      </c>
      <c r="AU867" s="105">
        <f t="shared" si="22"/>
        <v>0.4931506849315068</v>
      </c>
    </row>
    <row r="868" spans="39:47" ht="15.75" customHeight="1">
      <c r="AM868" s="805">
        <v>8</v>
      </c>
      <c r="AN868" s="789" t="s">
        <v>1488</v>
      </c>
      <c r="AO868" s="789"/>
      <c r="AP868" s="789"/>
      <c r="AQ868" s="789"/>
      <c r="AR868" s="96">
        <f>D159</f>
        <v>35</v>
      </c>
      <c r="AS868" s="96">
        <f>E159</f>
        <v>25</v>
      </c>
      <c r="AT868" s="96">
        <f t="shared" si="21"/>
        <v>10</v>
      </c>
      <c r="AU868" s="105">
        <f t="shared" si="22"/>
        <v>0.4</v>
      </c>
    </row>
    <row r="869" spans="39:48" ht="15.75" customHeight="1">
      <c r="AM869" s="805">
        <v>9</v>
      </c>
      <c r="AN869" s="789" t="str">
        <f>B161</f>
        <v> Провизии</v>
      </c>
      <c r="AO869" s="789"/>
      <c r="AP869" s="789"/>
      <c r="AQ869" s="789"/>
      <c r="AR869" s="96">
        <f>D161</f>
        <v>0</v>
      </c>
      <c r="AS869" s="96">
        <f>E161</f>
        <v>0</v>
      </c>
      <c r="AT869" s="96">
        <f t="shared" si="21"/>
        <v>0</v>
      </c>
      <c r="AU869" s="105">
        <f t="shared" si="22"/>
        <v>0</v>
      </c>
      <c r="AV869" s="64"/>
    </row>
    <row r="870" spans="39:48" ht="15.75" customHeight="1">
      <c r="AM870" s="805">
        <v>10</v>
      </c>
      <c r="AN870" s="914" t="str">
        <f>B163</f>
        <v> Текуща част от нетекущи задължения и други</v>
      </c>
      <c r="AO870" s="789"/>
      <c r="AP870" s="789"/>
      <c r="AQ870" s="789"/>
      <c r="AR870" s="96">
        <f>D163</f>
        <v>49</v>
      </c>
      <c r="AS870" s="96">
        <f>E163</f>
        <v>35</v>
      </c>
      <c r="AT870" s="96">
        <f t="shared" si="21"/>
        <v>14</v>
      </c>
      <c r="AU870" s="105">
        <f t="shared" si="22"/>
        <v>0.4</v>
      </c>
      <c r="AV870" s="64"/>
    </row>
    <row r="871" spans="39:47" ht="15.75" customHeight="1" thickBot="1">
      <c r="AM871" s="919"/>
      <c r="AN871" s="814"/>
      <c r="AO871" s="814"/>
      <c r="AP871" s="814"/>
      <c r="AQ871" s="814" t="s">
        <v>2230</v>
      </c>
      <c r="AR871" s="928">
        <f>D164</f>
        <v>760</v>
      </c>
      <c r="AS871" s="928">
        <f>E164</f>
        <v>984</v>
      </c>
      <c r="AT871" s="212">
        <f t="shared" si="21"/>
        <v>-224</v>
      </c>
      <c r="AU871" s="118">
        <f t="shared" si="22"/>
        <v>-0.22764227642276422</v>
      </c>
    </row>
    <row r="872" spans="39:48" ht="11.25" customHeight="1">
      <c r="AM872" s="929"/>
      <c r="AN872" s="229"/>
      <c r="AO872" s="229"/>
      <c r="AP872" s="229"/>
      <c r="AQ872" s="229"/>
      <c r="AR872" s="930"/>
      <c r="AS872" s="930"/>
      <c r="AT872" s="930"/>
      <c r="AU872" s="870"/>
      <c r="AV872" s="62">
        <f>+' -'!$C$12</f>
      </c>
    </row>
    <row r="873" spans="39:47" ht="15.75" customHeight="1" thickBot="1">
      <c r="AM873" s="765" t="s">
        <v>2293</v>
      </c>
      <c r="AN873" s="854"/>
      <c r="AO873" s="854"/>
      <c r="AP873" s="854"/>
      <c r="AQ873" s="854"/>
      <c r="AR873" s="854"/>
      <c r="AS873" s="854"/>
      <c r="AT873" s="760"/>
      <c r="AU873" s="667" t="s">
        <v>1610</v>
      </c>
    </row>
    <row r="874" spans="39:47" ht="15.75" customHeight="1">
      <c r="AM874" s="872"/>
      <c r="AN874" s="873"/>
      <c r="AO874" s="874"/>
      <c r="AP874" s="874"/>
      <c r="AQ874" s="874"/>
      <c r="AR874" s="875" t="str">
        <f>$D$7</f>
        <v>Текуща</v>
      </c>
      <c r="AS874" s="876" t="str">
        <f>$E$7</f>
        <v>Предходна</v>
      </c>
      <c r="AT874" s="774" t="s">
        <v>1611</v>
      </c>
      <c r="AU874" s="855"/>
    </row>
    <row r="875" spans="39:47" ht="15.75" customHeight="1">
      <c r="AM875" s="877" t="s">
        <v>1612</v>
      </c>
      <c r="AN875" s="927" t="s">
        <v>1613</v>
      </c>
      <c r="AO875" s="879"/>
      <c r="AP875" s="879"/>
      <c r="AQ875" s="879"/>
      <c r="AR875" s="880" t="str">
        <f>$D$8</f>
        <v>година</v>
      </c>
      <c r="AS875" s="881" t="str">
        <f>$E$8</f>
        <v>година</v>
      </c>
      <c r="AT875" s="857"/>
      <c r="AU875" s="858"/>
    </row>
    <row r="876" spans="39:47" ht="15.75" customHeight="1" thickBot="1">
      <c r="AM876" s="882"/>
      <c r="AN876" s="883"/>
      <c r="AO876" s="884"/>
      <c r="AP876" s="884"/>
      <c r="AQ876" s="884"/>
      <c r="AR876" s="835" t="s">
        <v>1614</v>
      </c>
      <c r="AS876" s="885" t="s">
        <v>1614</v>
      </c>
      <c r="AT876" s="786" t="s">
        <v>1614</v>
      </c>
      <c r="AU876" s="787" t="s">
        <v>1615</v>
      </c>
    </row>
    <row r="877" spans="39:58" ht="15.75" customHeight="1">
      <c r="AM877" s="931" t="s">
        <v>1616</v>
      </c>
      <c r="AN877" s="789" t="s">
        <v>1146</v>
      </c>
      <c r="AO877" s="789"/>
      <c r="AP877" s="789"/>
      <c r="AQ877" s="789"/>
      <c r="AR877" s="96">
        <f>IF(' -'!$B$11="",Анализ!$K$222-$K$257,Анализ!$AS$1003)</f>
        <v>103</v>
      </c>
      <c r="AS877" s="96">
        <f>IF(' -'!$B$11="",Анализ!$L$222-$L$257,Анализ!$AR$1003)</f>
        <v>425</v>
      </c>
      <c r="AT877" s="279">
        <f>AR877-AS877</f>
        <v>-322</v>
      </c>
      <c r="AU877" s="105">
        <f>IF(AND(AS877=0,AR877=0),0,IF(AS877&lt;&gt;0,AT877/ABS(AS877),IF(AS877=0,AT877/ABS(AR877),FLASE)))</f>
        <v>-0.7576470588235295</v>
      </c>
      <c r="BF877" s="275" t="s">
        <v>1455</v>
      </c>
    </row>
    <row r="878" spans="39:58" ht="15.75" customHeight="1">
      <c r="AM878" s="805" t="s">
        <v>2455</v>
      </c>
      <c r="AN878" s="789" t="s">
        <v>2454</v>
      </c>
      <c r="AO878" s="789"/>
      <c r="AP878" s="789"/>
      <c r="AQ878" s="789"/>
      <c r="AR878" s="93">
        <f>IF(' -'!$B$11="",$D$130,Анализ!$AS$801)</f>
        <v>13840</v>
      </c>
      <c r="AS878" s="93">
        <f>IF(' -'!$B$11="",$E$130,Анализ!$AR$801)</f>
        <v>13752</v>
      </c>
      <c r="AT878" s="207">
        <f>AR878-AS878</f>
        <v>88</v>
      </c>
      <c r="AU878" s="105">
        <f>IF(AND(AS878=0,AR878=0),0,IF(AS878&lt;&gt;0,AT878/ABS(AS878),IF(AS878=0,AT878/ABS(AR878),FLASE)))</f>
        <v>0.006399069226294357</v>
      </c>
      <c r="BF878" s="275" t="s">
        <v>1455</v>
      </c>
    </row>
    <row r="879" spans="39:47" ht="15.75" customHeight="1">
      <c r="AM879" s="805" t="s">
        <v>819</v>
      </c>
      <c r="AN879" s="789" t="s">
        <v>1024</v>
      </c>
      <c r="AO879" s="789"/>
      <c r="AP879" s="789"/>
      <c r="AQ879" s="789"/>
      <c r="AR879" s="207">
        <f>$D$98</f>
        <v>21489</v>
      </c>
      <c r="AS879" s="207">
        <f>$E$98</f>
        <v>19317</v>
      </c>
      <c r="AT879" s="207">
        <f>AR879-AS879</f>
        <v>2172</v>
      </c>
      <c r="AU879" s="105">
        <f>IF(AND(AS879=0,AR879=0),0,IF(AS879&lt;&gt;0,AT879/ABS(AS879),IF(AS879=0,AT879/ABS(AR879),FLASE)))</f>
        <v>0.11243981984780245</v>
      </c>
    </row>
    <row r="880" spans="39:47" ht="15.75" customHeight="1">
      <c r="AM880" s="916" t="s">
        <v>1213</v>
      </c>
      <c r="AN880" s="110" t="s">
        <v>1025</v>
      </c>
      <c r="AO880" s="110"/>
      <c r="AP880" s="110"/>
      <c r="AQ880" s="932"/>
      <c r="AR880" s="932"/>
      <c r="AS880" s="932"/>
      <c r="AT880" s="932"/>
      <c r="AU880" s="104"/>
    </row>
    <row r="881" spans="39:47" ht="15.75" customHeight="1">
      <c r="AM881" s="805"/>
      <c r="AN881" s="789" t="s">
        <v>1026</v>
      </c>
      <c r="AO881" s="789"/>
      <c r="AP881" s="789"/>
      <c r="AQ881" s="806"/>
      <c r="AR881" s="367">
        <f>IF(AND(AR877&lt;0,AR878&lt;0),AR877/AR878*(-1),AR877/AR878)</f>
        <v>0.007442196531791907</v>
      </c>
      <c r="AS881" s="367">
        <f>IF(AND(AS877&lt;0,AS878&lt;0),AS877/AS878*(-1),AS877/AS878)</f>
        <v>0.03090459569517161</v>
      </c>
      <c r="AT881" s="367">
        <f>AR881-AS881</f>
        <v>-0.023462399163379704</v>
      </c>
      <c r="AU881" s="105">
        <f>IF(AND(AS881=0,AR881=0),0,IF(AS881&lt;&gt;0,AT881/ABS(AS881),IF(AS881=0,AT881/ABS(AR881),FLASE)))</f>
        <v>-0.759188031281877</v>
      </c>
    </row>
    <row r="882" spans="39:47" ht="15.75" customHeight="1">
      <c r="AM882" s="916" t="s">
        <v>1215</v>
      </c>
      <c r="AN882" s="110" t="s">
        <v>1235</v>
      </c>
      <c r="AO882" s="110"/>
      <c r="AP882" s="110"/>
      <c r="AQ882" s="932"/>
      <c r="AR882" s="932"/>
      <c r="AS882" s="932"/>
      <c r="AT882" s="932"/>
      <c r="AU882" s="104"/>
    </row>
    <row r="883" spans="39:47" ht="15.75" customHeight="1" thickBot="1">
      <c r="AM883" s="933"/>
      <c r="AN883" s="814" t="s">
        <v>1236</v>
      </c>
      <c r="AO883" s="814"/>
      <c r="AP883" s="814"/>
      <c r="AQ883" s="815"/>
      <c r="AR883" s="868">
        <f>AR877/AR879</f>
        <v>0.0047931499837125975</v>
      </c>
      <c r="AS883" s="868">
        <f>AS877/AS879</f>
        <v>0.02200134596469431</v>
      </c>
      <c r="AT883" s="868">
        <f>AR883-AS883</f>
        <v>-0.01720819598098171</v>
      </c>
      <c r="AU883" s="118">
        <f>IF(AND(AS883=0,AR883=0),0,IF(AS883&lt;&gt;0,AT883/ABS(AS883),IF(AS883=0,AT883/ABS(AR883),FLASE)))</f>
        <v>-0.7821428747402912</v>
      </c>
    </row>
    <row r="884" spans="39:48" ht="12" customHeight="1">
      <c r="AM884" s="666"/>
      <c r="AN884" s="666"/>
      <c r="AO884" s="666"/>
      <c r="AP884" s="666"/>
      <c r="AQ884" s="666"/>
      <c r="AR884" s="666"/>
      <c r="AS884" s="666"/>
      <c r="AT884" s="666"/>
      <c r="AU884" s="666"/>
      <c r="AV884" s="62">
        <f>+' -'!$B$11</f>
      </c>
    </row>
    <row r="885" spans="39:47" ht="15.75" customHeight="1" thickBot="1">
      <c r="AM885" s="765" t="s">
        <v>1444</v>
      </c>
      <c r="AN885" s="854"/>
      <c r="AO885" s="854"/>
      <c r="AP885" s="854"/>
      <c r="AQ885" s="854"/>
      <c r="AR885" s="854"/>
      <c r="AS885" s="854"/>
      <c r="AT885" s="760"/>
      <c r="AU885" s="667" t="s">
        <v>1610</v>
      </c>
    </row>
    <row r="886" spans="39:47" ht="15.75" customHeight="1">
      <c r="AM886" s="872"/>
      <c r="AN886" s="873"/>
      <c r="AO886" s="874"/>
      <c r="AP886" s="874"/>
      <c r="AQ886" s="874"/>
      <c r="AR886" s="875" t="str">
        <f>$D$7</f>
        <v>Текуща</v>
      </c>
      <c r="AS886" s="876" t="str">
        <f>$E$7</f>
        <v>Предходна</v>
      </c>
      <c r="AT886" s="774" t="s">
        <v>1611</v>
      </c>
      <c r="AU886" s="855"/>
    </row>
    <row r="887" spans="39:47" ht="15.75" customHeight="1">
      <c r="AM887" s="877" t="s">
        <v>1612</v>
      </c>
      <c r="AN887" s="927" t="s">
        <v>1613</v>
      </c>
      <c r="AO887" s="879"/>
      <c r="AP887" s="879"/>
      <c r="AQ887" s="879"/>
      <c r="AR887" s="880" t="str">
        <f>$D$8</f>
        <v>година</v>
      </c>
      <c r="AS887" s="881" t="str">
        <f>$E$8</f>
        <v>година</v>
      </c>
      <c r="AT887" s="857"/>
      <c r="AU887" s="858"/>
    </row>
    <row r="888" spans="39:47" ht="15.75" customHeight="1" thickBot="1">
      <c r="AM888" s="882"/>
      <c r="AN888" s="883"/>
      <c r="AO888" s="884"/>
      <c r="AP888" s="884"/>
      <c r="AQ888" s="884"/>
      <c r="AR888" s="934" t="s">
        <v>1614</v>
      </c>
      <c r="AS888" s="885" t="s">
        <v>1614</v>
      </c>
      <c r="AT888" s="786" t="s">
        <v>1614</v>
      </c>
      <c r="AU888" s="787" t="s">
        <v>1615</v>
      </c>
    </row>
    <row r="889" spans="39:47" ht="15.75" customHeight="1">
      <c r="AM889" s="931" t="s">
        <v>1616</v>
      </c>
      <c r="AN889" s="839" t="s">
        <v>1237</v>
      </c>
      <c r="AO889" s="839"/>
      <c r="AP889" s="839"/>
      <c r="AQ889" s="839"/>
      <c r="AR889" s="279">
        <f>$K$235</f>
        <v>6688</v>
      </c>
      <c r="AS889" s="279">
        <f>$L$235</f>
        <v>7508</v>
      </c>
      <c r="AT889" s="279">
        <f aca="true" t="shared" si="23" ref="AT889:AT897">AR889-AS889</f>
        <v>-820</v>
      </c>
      <c r="AU889" s="105">
        <f aca="true" t="shared" si="24" ref="AU889:AU897">IF(AND(AS889=0,AR889=0),0,IF(AS889&lt;&gt;0,AT889/ABS(AS889),IF(AS889=0,AT889/ABS(AR889),FLASE)))</f>
        <v>-0.10921683537559936</v>
      </c>
    </row>
    <row r="890" spans="39:47" ht="15.75" customHeight="1">
      <c r="AM890" s="805" t="s">
        <v>2455</v>
      </c>
      <c r="AN890" s="789" t="s">
        <v>1024</v>
      </c>
      <c r="AO890" s="789"/>
      <c r="AP890" s="789"/>
      <c r="AQ890" s="789"/>
      <c r="AR890" s="207">
        <f>$D$98</f>
        <v>21489</v>
      </c>
      <c r="AS890" s="207">
        <f>$E$98</f>
        <v>19317</v>
      </c>
      <c r="AT890" s="207">
        <f t="shared" si="23"/>
        <v>2172</v>
      </c>
      <c r="AU890" s="105">
        <f t="shared" si="24"/>
        <v>0.11243981984780245</v>
      </c>
    </row>
    <row r="891" spans="39:47" ht="15.75" customHeight="1">
      <c r="AM891" s="805" t="s">
        <v>819</v>
      </c>
      <c r="AN891" s="789" t="s">
        <v>1238</v>
      </c>
      <c r="AO891" s="789"/>
      <c r="AP891" s="789"/>
      <c r="AQ891" s="789"/>
      <c r="AR891" s="207">
        <f>D58</f>
        <v>8680</v>
      </c>
      <c r="AS891" s="207">
        <f>E58</f>
        <v>6991</v>
      </c>
      <c r="AT891" s="207">
        <f t="shared" si="23"/>
        <v>1689</v>
      </c>
      <c r="AU891" s="105">
        <f t="shared" si="24"/>
        <v>0.24159633814904877</v>
      </c>
    </row>
    <row r="892" spans="39:47" ht="15.75" customHeight="1">
      <c r="AM892" s="805" t="s">
        <v>1213</v>
      </c>
      <c r="AN892" s="789" t="s">
        <v>340</v>
      </c>
      <c r="AO892" s="789"/>
      <c r="AP892" s="789"/>
      <c r="AQ892" s="789"/>
      <c r="AR892" s="207">
        <f>$D$78</f>
        <v>5441</v>
      </c>
      <c r="AS892" s="207">
        <f>$E$78</f>
        <v>5494</v>
      </c>
      <c r="AT892" s="207">
        <f t="shared" si="23"/>
        <v>-53</v>
      </c>
      <c r="AU892" s="105">
        <f t="shared" si="24"/>
        <v>-0.009646887513651257</v>
      </c>
    </row>
    <row r="893" spans="39:47" ht="15.75" customHeight="1">
      <c r="AM893" s="805" t="s">
        <v>1215</v>
      </c>
      <c r="AN893" s="789" t="s">
        <v>916</v>
      </c>
      <c r="AO893" s="789"/>
      <c r="AP893" s="789"/>
      <c r="AQ893" s="789"/>
      <c r="AR893" s="207">
        <f>D68</f>
        <v>7219</v>
      </c>
      <c r="AS893" s="207">
        <f>E68</f>
        <v>6572</v>
      </c>
      <c r="AT893" s="207">
        <f t="shared" si="23"/>
        <v>647</v>
      </c>
      <c r="AU893" s="105">
        <f t="shared" si="24"/>
        <v>0.09844796104686548</v>
      </c>
    </row>
    <row r="894" spans="39:47" ht="15.75" customHeight="1">
      <c r="AM894" s="805" t="s">
        <v>1216</v>
      </c>
      <c r="AN894" s="789" t="s">
        <v>830</v>
      </c>
      <c r="AO894" s="789"/>
      <c r="AP894" s="789"/>
      <c r="AQ894" s="789"/>
      <c r="AR894" s="207">
        <f>K214-K252</f>
        <v>138</v>
      </c>
      <c r="AS894" s="207">
        <f>L214-L252</f>
        <v>457</v>
      </c>
      <c r="AT894" s="207">
        <f>AR894-AS894</f>
        <v>-319</v>
      </c>
      <c r="AU894" s="105">
        <f>IF(AND(AS894=0,AR894=0),0,IF(AS894&lt;&gt;0,AT894/ABS(AS894),IF(AS894=0,AT894/ABS(AR894),FLASE)))</f>
        <v>-0.6980306345733042</v>
      </c>
    </row>
    <row r="895" spans="39:47" ht="15.75" customHeight="1">
      <c r="AM895" s="805" t="s">
        <v>1217</v>
      </c>
      <c r="AN895" s="789" t="s">
        <v>1239</v>
      </c>
      <c r="AO895" s="789"/>
      <c r="AP895" s="789"/>
      <c r="AQ895" s="789"/>
      <c r="AR895" s="910">
        <f>AR889/AR890</f>
        <v>0.3112290008841733</v>
      </c>
      <c r="AS895" s="109">
        <f>AS889/AS890</f>
        <v>0.3886731894186468</v>
      </c>
      <c r="AT895" s="109">
        <f t="shared" si="23"/>
        <v>-0.07744418853447349</v>
      </c>
      <c r="AU895" s="105">
        <f t="shared" si="24"/>
        <v>-0.19925271575924672</v>
      </c>
    </row>
    <row r="896" spans="39:47" ht="15.75" customHeight="1">
      <c r="AM896" s="805" t="s">
        <v>1218</v>
      </c>
      <c r="AN896" s="789" t="s">
        <v>1240</v>
      </c>
      <c r="AO896" s="789"/>
      <c r="AP896" s="789"/>
      <c r="AQ896" s="789"/>
      <c r="AR896" s="910">
        <f>AR889/AR891</f>
        <v>0.7705069124423963</v>
      </c>
      <c r="AS896" s="109">
        <f>AS889/AS891</f>
        <v>1.0739522242883708</v>
      </c>
      <c r="AT896" s="109">
        <f t="shared" si="23"/>
        <v>-0.30344531184597445</v>
      </c>
      <c r="AU896" s="105">
        <f t="shared" si="24"/>
        <v>-0.28255010323857316</v>
      </c>
    </row>
    <row r="897" spans="39:47" ht="15.75" customHeight="1">
      <c r="AM897" s="805" t="s">
        <v>1824</v>
      </c>
      <c r="AN897" s="789" t="s">
        <v>1823</v>
      </c>
      <c r="AO897" s="789"/>
      <c r="AP897" s="789"/>
      <c r="AQ897" s="789"/>
      <c r="AR897" s="910">
        <f>IF(AR892=0,0,AR889/AR892)</f>
        <v>1.229185811431722</v>
      </c>
      <c r="AS897" s="109">
        <f>IF(AS892=0,0,AS889/AS892)</f>
        <v>1.3665817255187478</v>
      </c>
      <c r="AT897" s="109">
        <f t="shared" si="23"/>
        <v>-0.13739591408702578</v>
      </c>
      <c r="AU897" s="105">
        <f t="shared" si="24"/>
        <v>-0.10053984443182201</v>
      </c>
    </row>
    <row r="898" spans="39:47" ht="15.75" customHeight="1">
      <c r="AM898" s="788" t="s">
        <v>1827</v>
      </c>
      <c r="AN898" s="789" t="s">
        <v>1828</v>
      </c>
      <c r="AO898" s="789"/>
      <c r="AP898" s="789"/>
      <c r="AQ898" s="789"/>
      <c r="AR898" s="910">
        <f>IF(AR893=0,0,AR889/AR893)</f>
        <v>0.9264441058318327</v>
      </c>
      <c r="AS898" s="109">
        <f>IF(AS893=0,0,AS889/AS893)</f>
        <v>1.1424223980523434</v>
      </c>
      <c r="AT898" s="109">
        <f>AR898-AS898</f>
        <v>-0.21597829222051068</v>
      </c>
      <c r="AU898" s="105">
        <f>IF(AND(AS898=0,AR898=0),0,IF(AS898&lt;&gt;0,AT898/ABS(AS898),IF(AS898=0,AT898/ABS(AR898),FLASE)))</f>
        <v>-0.18905292174656316</v>
      </c>
    </row>
    <row r="899" spans="39:47" ht="15.75" customHeight="1">
      <c r="AM899" s="794">
        <v>11</v>
      </c>
      <c r="AN899" s="110" t="s">
        <v>1825</v>
      </c>
      <c r="AO899" s="110"/>
      <c r="AP899" s="110"/>
      <c r="AQ899" s="932"/>
      <c r="AR899" s="932"/>
      <c r="AS899" s="932"/>
      <c r="AT899" s="932"/>
      <c r="AU899" s="104"/>
    </row>
    <row r="900" spans="39:47" ht="15.75" customHeight="1">
      <c r="AM900" s="805"/>
      <c r="AN900" s="789" t="s">
        <v>1826</v>
      </c>
      <c r="AO900" s="789"/>
      <c r="AP900" s="789"/>
      <c r="AQ900" s="806"/>
      <c r="AR900" s="109">
        <f>AR892/AR889*AR509</f>
        <v>292.8767942583732</v>
      </c>
      <c r="AS900" s="109">
        <f>AS892/AS889*AS509</f>
        <v>263.43100692594567</v>
      </c>
      <c r="AT900" s="111">
        <f>AR900-AS900</f>
        <v>29.44578733242753</v>
      </c>
      <c r="AU900" s="105">
        <f>IF(AND(AS900=0,AR900=0),0,IF(AS900&lt;&gt;0,AT900/ABS(AS900),IF(AS900=0,AT900/ABS(AR900),FLASE)))</f>
        <v>0.11177798572779693</v>
      </c>
    </row>
    <row r="901" spans="39:47" ht="15.75" customHeight="1">
      <c r="AM901" s="805">
        <v>12</v>
      </c>
      <c r="AN901" s="791" t="s">
        <v>572</v>
      </c>
      <c r="AO901" s="792"/>
      <c r="AP901" s="792"/>
      <c r="AQ901" s="793"/>
      <c r="AR901" s="108">
        <f>AR894/AR889</f>
        <v>0.02063397129186603</v>
      </c>
      <c r="AS901" s="108">
        <f>AS894/AS889</f>
        <v>0.06086840703249867</v>
      </c>
      <c r="AT901" s="102">
        <f>AR901-AS901</f>
        <v>-0.04023443574063264</v>
      </c>
      <c r="AU901" s="105">
        <f>IF(AND(AS901=0,AR901=0),0,IF(AS901&lt;&gt;0,AT901/ABS(AS901),IF(AS901=0,AT901/ABS(AR901),FLASE)))</f>
        <v>-0.6610068786447918</v>
      </c>
    </row>
    <row r="902" spans="39:47" ht="15.75" customHeight="1" thickBot="1">
      <c r="AM902" s="919">
        <v>13</v>
      </c>
      <c r="AN902" s="935" t="s">
        <v>336</v>
      </c>
      <c r="AO902" s="936"/>
      <c r="AP902" s="936"/>
      <c r="AQ902" s="937"/>
      <c r="AR902" s="938">
        <f>AR894/AR890</f>
        <v>0.006421890269440179</v>
      </c>
      <c r="AS902" s="938">
        <f>AS894/AS890</f>
        <v>0.02365791789615365</v>
      </c>
      <c r="AT902" s="208">
        <f>AR902-AS902</f>
        <v>-0.01723602762671347</v>
      </c>
      <c r="AU902" s="118">
        <f>IF(AND(AS902=0,AR902=0),0,IF(AS902&lt;&gt;0,AT902/ABS(AS902),IF(AS902=0,AT902/ABS(AR902),FLASE)))</f>
        <v>-0.728552178698521</v>
      </c>
    </row>
    <row r="903" spans="39:48" ht="7.5" customHeight="1">
      <c r="AM903" s="666"/>
      <c r="AN903" s="666"/>
      <c r="AO903" s="666"/>
      <c r="AP903" s="666"/>
      <c r="AQ903" s="666"/>
      <c r="AR903" s="666"/>
      <c r="AS903" s="666"/>
      <c r="AT903" s="666"/>
      <c r="AU903" s="666"/>
      <c r="AV903" s="62">
        <f>+' -'!$B$11</f>
      </c>
    </row>
    <row r="904" spans="39:48" ht="16.5" customHeight="1">
      <c r="AM904" s="765" t="s">
        <v>100</v>
      </c>
      <c r="AN904" s="766"/>
      <c r="AO904" s="766"/>
      <c r="AP904" s="766"/>
      <c r="AQ904" s="766"/>
      <c r="AR904" s="766"/>
      <c r="AS904" s="766"/>
      <c r="AT904" s="1340"/>
      <c r="AU904" s="1340"/>
      <c r="AV904" s="62"/>
    </row>
    <row r="905" spans="39:48" ht="16.5" customHeight="1">
      <c r="AM905" s="1097" t="str">
        <f>AM513</f>
        <v>"В И Н З А В О Д"  А Д - гр. АСЕНОВГРАД</v>
      </c>
      <c r="AN905" s="766"/>
      <c r="AO905" s="766"/>
      <c r="AP905" s="766"/>
      <c r="AQ905" s="766"/>
      <c r="AR905" s="766"/>
      <c r="AS905" s="766"/>
      <c r="AT905" s="1340"/>
      <c r="AU905" s="768" t="s">
        <v>1610</v>
      </c>
      <c r="AV905" s="62"/>
    </row>
    <row r="906" spans="39:48" ht="16.5" customHeight="1">
      <c r="AM906" s="1341"/>
      <c r="AN906" s="1341"/>
      <c r="AO906" s="1342"/>
      <c r="AP906" s="1342"/>
      <c r="AQ906" s="1342"/>
      <c r="AR906" s="1343" t="s">
        <v>2018</v>
      </c>
      <c r="AS906" s="1344" t="s">
        <v>2020</v>
      </c>
      <c r="AT906" s="1345" t="s">
        <v>1611</v>
      </c>
      <c r="AU906" s="1346"/>
      <c r="AV906" s="62"/>
    </row>
    <row r="907" spans="39:48" ht="16.5" customHeight="1">
      <c r="AM907" s="1347" t="s">
        <v>1612</v>
      </c>
      <c r="AN907" s="856" t="s">
        <v>1613</v>
      </c>
      <c r="AO907" s="778"/>
      <c r="AP907" s="778"/>
      <c r="AQ907" s="778"/>
      <c r="AR907" s="779" t="s">
        <v>2019</v>
      </c>
      <c r="AS907" s="779" t="s">
        <v>2019</v>
      </c>
      <c r="AT907" s="857"/>
      <c r="AU907" s="1348"/>
      <c r="AV907" s="62"/>
    </row>
    <row r="908" spans="39:48" ht="16.5" customHeight="1">
      <c r="AM908" s="1349"/>
      <c r="AN908" s="1349"/>
      <c r="AO908" s="1350"/>
      <c r="AP908" s="1350"/>
      <c r="AQ908" s="1350"/>
      <c r="AR908" s="1351" t="s">
        <v>1614</v>
      </c>
      <c r="AS908" s="1351" t="s">
        <v>1614</v>
      </c>
      <c r="AT908" s="1352" t="s">
        <v>1614</v>
      </c>
      <c r="AU908" s="1353" t="s">
        <v>1615</v>
      </c>
      <c r="AV908" s="62"/>
    </row>
    <row r="909" spans="39:48" ht="16.5" customHeight="1">
      <c r="AM909" s="1354"/>
      <c r="AN909" s="1355" t="s">
        <v>101</v>
      </c>
      <c r="AO909" s="1350"/>
      <c r="AP909" s="1350"/>
      <c r="AQ909" s="1350"/>
      <c r="AR909" s="1351"/>
      <c r="AS909" s="1351"/>
      <c r="AT909" s="1352"/>
      <c r="AU909" s="1353"/>
      <c r="AV909" s="62"/>
    </row>
    <row r="910" spans="39:48" ht="16.5" customHeight="1">
      <c r="AM910" s="1356" t="s">
        <v>1616</v>
      </c>
      <c r="AN910" s="789" t="s">
        <v>102</v>
      </c>
      <c r="AO910" s="789"/>
      <c r="AP910" s="789"/>
      <c r="AQ910" s="789"/>
      <c r="AR910" s="1357">
        <f>K194</f>
        <v>6978</v>
      </c>
      <c r="AS910" s="1357">
        <f>L194</f>
        <v>6459</v>
      </c>
      <c r="AT910" s="373">
        <f aca="true" t="shared" si="25" ref="AT910:AT918">AR910-AS910</f>
        <v>519</v>
      </c>
      <c r="AU910" s="912">
        <f aca="true" t="shared" si="26" ref="AU910:AU918">IF(AND(AS910=0,AR910=0),0,IF(AS910&lt;&gt;0,AT910/ABS(AS910),IF(AS910=0,AT910/ABS(AR910),FLASE)))</f>
        <v>0.08035299581978635</v>
      </c>
      <c r="AV910" s="62"/>
    </row>
    <row r="911" spans="39:48" ht="16.5" customHeight="1">
      <c r="AM911" s="1358">
        <v>2</v>
      </c>
      <c r="AN911" s="789" t="s">
        <v>1345</v>
      </c>
      <c r="AO911" s="789"/>
      <c r="AP911" s="789"/>
      <c r="AQ911" s="789"/>
      <c r="AR911" s="1357">
        <f>K201</f>
        <v>-599</v>
      </c>
      <c r="AS911" s="1357">
        <f>L201</f>
        <v>633</v>
      </c>
      <c r="AT911" s="94">
        <f t="shared" si="25"/>
        <v>-1232</v>
      </c>
      <c r="AU911" s="845">
        <f t="shared" si="26"/>
        <v>-1.9462875197472354</v>
      </c>
      <c r="AV911" s="62"/>
    </row>
    <row r="912" spans="39:48" ht="16.5" customHeight="1">
      <c r="AM912" s="1358">
        <v>3</v>
      </c>
      <c r="AN912" s="789" t="s">
        <v>1346</v>
      </c>
      <c r="AO912" s="789"/>
      <c r="AP912" s="789"/>
      <c r="AQ912" s="789"/>
      <c r="AR912" s="1357">
        <f>K208</f>
        <v>428</v>
      </c>
      <c r="AS912" s="1357">
        <f>L208</f>
        <v>282</v>
      </c>
      <c r="AT912" s="94">
        <f t="shared" si="25"/>
        <v>146</v>
      </c>
      <c r="AU912" s="845">
        <f t="shared" si="26"/>
        <v>0.5177304964539007</v>
      </c>
      <c r="AV912" s="62"/>
    </row>
    <row r="913" spans="39:48" ht="16.5" customHeight="1">
      <c r="AM913" s="1358"/>
      <c r="AN913" s="789"/>
      <c r="AO913" s="789"/>
      <c r="AP913" s="789"/>
      <c r="AQ913" s="1359" t="s">
        <v>103</v>
      </c>
      <c r="AR913" s="1357">
        <f>SUM(AR910:AR912)</f>
        <v>6807</v>
      </c>
      <c r="AS913" s="1357">
        <f>SUM(AS910:AS912)</f>
        <v>7374</v>
      </c>
      <c r="AT913" s="94">
        <f t="shared" si="25"/>
        <v>-567</v>
      </c>
      <c r="AU913" s="845">
        <f t="shared" si="26"/>
        <v>-0.07689178193653377</v>
      </c>
      <c r="AV913" s="62"/>
    </row>
    <row r="914" spans="39:48" ht="16.5" customHeight="1">
      <c r="AM914" s="1358">
        <v>4</v>
      </c>
      <c r="AN914" s="789" t="s">
        <v>706</v>
      </c>
      <c r="AO914" s="789"/>
      <c r="AP914" s="789"/>
      <c r="AQ914" s="789"/>
      <c r="AR914" s="1357">
        <f>K212</f>
        <v>0</v>
      </c>
      <c r="AS914" s="1357">
        <f>L212</f>
        <v>0</v>
      </c>
      <c r="AT914" s="94">
        <f t="shared" si="25"/>
        <v>0</v>
      </c>
      <c r="AU914" s="845">
        <f t="shared" si="26"/>
        <v>0</v>
      </c>
      <c r="AV914" s="62"/>
    </row>
    <row r="915" spans="39:48" ht="16.5" customHeight="1">
      <c r="AM915" s="1358">
        <v>5</v>
      </c>
      <c r="AN915" s="789" t="s">
        <v>831</v>
      </c>
      <c r="AO915" s="789"/>
      <c r="AP915" s="789"/>
      <c r="AQ915" s="789"/>
      <c r="AR915" s="1357">
        <f>K215</f>
        <v>35</v>
      </c>
      <c r="AS915" s="1357">
        <f>L215</f>
        <v>32</v>
      </c>
      <c r="AT915" s="94">
        <f t="shared" si="25"/>
        <v>3</v>
      </c>
      <c r="AU915" s="845">
        <f t="shared" si="26"/>
        <v>0.09375</v>
      </c>
      <c r="AV915" s="62"/>
    </row>
    <row r="916" spans="39:48" ht="16.5" customHeight="1">
      <c r="AM916" s="1358"/>
      <c r="AN916" s="789"/>
      <c r="AO916" s="789"/>
      <c r="AP916" s="789"/>
      <c r="AQ916" s="1359" t="s">
        <v>104</v>
      </c>
      <c r="AR916" s="1357">
        <f>AR913+AR914+AR915</f>
        <v>6842</v>
      </c>
      <c r="AS916" s="1357">
        <f>AS913+AS914+AS915</f>
        <v>7406</v>
      </c>
      <c r="AT916" s="96">
        <f t="shared" si="25"/>
        <v>-564</v>
      </c>
      <c r="AU916" s="845">
        <f t="shared" si="26"/>
        <v>-0.07615446934917634</v>
      </c>
      <c r="AV916" s="62"/>
    </row>
    <row r="917" spans="39:48" ht="16.5" customHeight="1">
      <c r="AM917" s="1358"/>
      <c r="AN917" s="789" t="s">
        <v>1147</v>
      </c>
      <c r="AO917" s="789"/>
      <c r="AP917" s="789"/>
      <c r="AQ917" s="789"/>
      <c r="AR917" s="1357">
        <f>K222</f>
        <v>103</v>
      </c>
      <c r="AS917" s="1357">
        <f>L222</f>
        <v>425</v>
      </c>
      <c r="AT917" s="94">
        <f t="shared" si="25"/>
        <v>-322</v>
      </c>
      <c r="AU917" s="845">
        <f t="shared" si="26"/>
        <v>-0.7576470588235295</v>
      </c>
      <c r="AV917" s="62"/>
    </row>
    <row r="918" spans="39:48" ht="16.5" customHeight="1">
      <c r="AM918" s="1358"/>
      <c r="AN918" s="789"/>
      <c r="AO918" s="789"/>
      <c r="AP918" s="789"/>
      <c r="AQ918" s="1359" t="s">
        <v>2230</v>
      </c>
      <c r="AR918" s="93">
        <f>AR916+AR917</f>
        <v>6945</v>
      </c>
      <c r="AS918" s="93">
        <f>AS916+AS917</f>
        <v>7831</v>
      </c>
      <c r="AT918" s="94">
        <f t="shared" si="25"/>
        <v>-886</v>
      </c>
      <c r="AU918" s="845">
        <f t="shared" si="26"/>
        <v>-0.11314008428042395</v>
      </c>
      <c r="AV918" s="62"/>
    </row>
    <row r="919" spans="39:48" ht="16.5" customHeight="1">
      <c r="AM919" s="1354"/>
      <c r="AN919" s="1355" t="s">
        <v>105</v>
      </c>
      <c r="AO919" s="1350"/>
      <c r="AP919" s="1350"/>
      <c r="AQ919" s="1350"/>
      <c r="AR919" s="1351"/>
      <c r="AS919" s="1351"/>
      <c r="AT919" s="1352"/>
      <c r="AU919" s="1353"/>
      <c r="AV919" s="62"/>
    </row>
    <row r="920" spans="39:48" ht="16.5" customHeight="1">
      <c r="AM920" s="1356" t="s">
        <v>1616</v>
      </c>
      <c r="AN920" s="789" t="s">
        <v>832</v>
      </c>
      <c r="AO920" s="789"/>
      <c r="AP920" s="789"/>
      <c r="AQ920" s="789"/>
      <c r="AR920" s="1357">
        <f>K235</f>
        <v>6688</v>
      </c>
      <c r="AS920" s="1357">
        <f>L235</f>
        <v>7508</v>
      </c>
      <c r="AT920" s="373">
        <f aca="true" t="shared" si="27" ref="AT920:AT927">AR920-AS920</f>
        <v>-820</v>
      </c>
      <c r="AU920" s="912">
        <f aca="true" t="shared" si="28" ref="AU920:AU927">IF(AND(AS920=0,AR920=0),0,IF(AS920&lt;&gt;0,AT920/ABS(AS920),IF(AS920=0,AT920/ABS(AR920),FLASE)))</f>
        <v>-0.10921683537559936</v>
      </c>
      <c r="AV920" s="62"/>
    </row>
    <row r="921" spans="39:48" ht="16.5" customHeight="1">
      <c r="AM921" s="1358">
        <v>2</v>
      </c>
      <c r="AN921" s="789" t="s">
        <v>833</v>
      </c>
      <c r="AO921" s="789"/>
      <c r="AP921" s="789"/>
      <c r="AQ921" s="789"/>
      <c r="AR921" s="1357">
        <f>K236</f>
        <v>73</v>
      </c>
      <c r="AS921" s="1357">
        <f>L236</f>
        <v>323</v>
      </c>
      <c r="AT921" s="94">
        <f t="shared" si="27"/>
        <v>-250</v>
      </c>
      <c r="AU921" s="845">
        <f t="shared" si="28"/>
        <v>-0.7739938080495357</v>
      </c>
      <c r="AV921" s="62"/>
    </row>
    <row r="922" spans="39:48" ht="16.5" customHeight="1">
      <c r="AM922" s="1358">
        <v>3</v>
      </c>
      <c r="AN922" s="789" t="s">
        <v>707</v>
      </c>
      <c r="AO922" s="789"/>
      <c r="AP922" s="789"/>
      <c r="AQ922" s="789"/>
      <c r="AR922" s="1357">
        <f>K246</f>
        <v>184</v>
      </c>
      <c r="AS922" s="1357">
        <f>L246</f>
        <v>0</v>
      </c>
      <c r="AT922" s="94">
        <f t="shared" si="27"/>
        <v>184</v>
      </c>
      <c r="AU922" s="845">
        <f t="shared" si="28"/>
        <v>1</v>
      </c>
      <c r="AV922" s="62"/>
    </row>
    <row r="923" spans="39:48" ht="16.5" customHeight="1">
      <c r="AM923" s="1358"/>
      <c r="AN923" s="789"/>
      <c r="AO923" s="789"/>
      <c r="AP923" s="789"/>
      <c r="AQ923" s="1359" t="s">
        <v>106</v>
      </c>
      <c r="AR923" s="1357">
        <f>SUM(AR920:AR922)</f>
        <v>6945</v>
      </c>
      <c r="AS923" s="1357">
        <f>SUM(AS920:AS922)</f>
        <v>7831</v>
      </c>
      <c r="AT923" s="94">
        <f t="shared" si="27"/>
        <v>-886</v>
      </c>
      <c r="AU923" s="845">
        <f t="shared" si="28"/>
        <v>-0.11314008428042395</v>
      </c>
      <c r="AV923" s="62"/>
    </row>
    <row r="924" spans="39:48" ht="16.5" customHeight="1">
      <c r="AM924" s="1358">
        <v>4</v>
      </c>
      <c r="AN924" s="789" t="s">
        <v>708</v>
      </c>
      <c r="AO924" s="789"/>
      <c r="AP924" s="789"/>
      <c r="AQ924" s="789"/>
      <c r="AR924" s="1357">
        <f>K250</f>
        <v>0</v>
      </c>
      <c r="AS924" s="1357">
        <f>L250</f>
        <v>0</v>
      </c>
      <c r="AT924" s="94">
        <f t="shared" si="27"/>
        <v>0</v>
      </c>
      <c r="AU924" s="845">
        <f t="shared" si="28"/>
        <v>0</v>
      </c>
      <c r="AV924" s="62"/>
    </row>
    <row r="925" spans="39:48" ht="16.5" customHeight="1">
      <c r="AM925" s="1358"/>
      <c r="AN925" s="789"/>
      <c r="AO925" s="789"/>
      <c r="AP925" s="789"/>
      <c r="AQ925" s="1359" t="s">
        <v>107</v>
      </c>
      <c r="AR925" s="1357">
        <f>AR923+AR924</f>
        <v>6945</v>
      </c>
      <c r="AS925" s="1357">
        <f>AS923+AS924</f>
        <v>7831</v>
      </c>
      <c r="AT925" s="96">
        <f t="shared" si="27"/>
        <v>-886</v>
      </c>
      <c r="AU925" s="845">
        <f t="shared" si="28"/>
        <v>-0.11314008428042395</v>
      </c>
      <c r="AV925" s="62"/>
    </row>
    <row r="926" spans="39:48" ht="16.5" customHeight="1">
      <c r="AM926" s="1358">
        <v>5</v>
      </c>
      <c r="AN926" s="789" t="s">
        <v>1148</v>
      </c>
      <c r="AO926" s="789"/>
      <c r="AP926" s="789"/>
      <c r="AQ926" s="789"/>
      <c r="AR926" s="1357">
        <f>K257</f>
        <v>0</v>
      </c>
      <c r="AS926" s="1357">
        <f>L257</f>
        <v>0</v>
      </c>
      <c r="AT926" s="94">
        <f t="shared" si="27"/>
        <v>0</v>
      </c>
      <c r="AU926" s="845">
        <f t="shared" si="28"/>
        <v>0</v>
      </c>
      <c r="AV926" s="62"/>
    </row>
    <row r="927" spans="39:48" ht="16.5" customHeight="1">
      <c r="AM927" s="1358"/>
      <c r="AN927" s="789"/>
      <c r="AO927" s="789"/>
      <c r="AP927" s="789"/>
      <c r="AQ927" s="1359" t="s">
        <v>2230</v>
      </c>
      <c r="AR927" s="93">
        <f>AR925+AR926</f>
        <v>6945</v>
      </c>
      <c r="AS927" s="93">
        <f>AS925+AS926</f>
        <v>7831</v>
      </c>
      <c r="AT927" s="94">
        <f t="shared" si="27"/>
        <v>-886</v>
      </c>
      <c r="AU927" s="845">
        <f t="shared" si="28"/>
        <v>-0.11314008428042395</v>
      </c>
      <c r="AV927" s="62"/>
    </row>
    <row r="928" spans="39:48" ht="16.5" customHeight="1">
      <c r="AM928" s="1358">
        <v>6</v>
      </c>
      <c r="AN928" s="789" t="s">
        <v>108</v>
      </c>
      <c r="AO928" s="789"/>
      <c r="AP928" s="789"/>
      <c r="AQ928" s="789"/>
      <c r="AR928" s="368">
        <f>AR916/AR925*100</f>
        <v>98.51691864650827</v>
      </c>
      <c r="AS928" s="368">
        <f>AS916/AS925*100</f>
        <v>94.57285148767718</v>
      </c>
      <c r="AT928" s="910">
        <f>AR928-AS928</f>
        <v>3.944067158831089</v>
      </c>
      <c r="AU928" s="108">
        <f>IF(AND(AS928=0,AR928=0),0,IF(AS928&lt;&gt;0,AT928/ABS(AS928),IF(AS928=0,AT928/ABS(AR928),FLASE)))</f>
        <v>0.0417040101550179</v>
      </c>
      <c r="AV928" s="62"/>
    </row>
    <row r="929" spans="39:48" ht="16.5" customHeight="1">
      <c r="AM929" s="901"/>
      <c r="AN929" s="110"/>
      <c r="AO929" s="110"/>
      <c r="AP929" s="110"/>
      <c r="AQ929" s="110"/>
      <c r="AR929" s="1360"/>
      <c r="AS929" s="1360"/>
      <c r="AT929" s="869"/>
      <c r="AU929" s="917"/>
      <c r="AV929" s="62"/>
    </row>
    <row r="930" spans="39:48" ht="16.5" customHeight="1">
      <c r="AM930" s="901"/>
      <c r="AN930" s="110" t="s">
        <v>109</v>
      </c>
      <c r="AO930" s="110"/>
      <c r="AP930" s="110"/>
      <c r="AQ930" s="1542" t="str">
        <f>AM513</f>
        <v>"В И Н З А В О Д"  А Д - гр. АСЕНОВГРАД</v>
      </c>
      <c r="AR930" s="1542"/>
      <c r="AS930" s="1542"/>
      <c r="AT930" s="1542"/>
      <c r="AU930" s="644" t="s">
        <v>110</v>
      </c>
      <c r="AV930" s="62"/>
    </row>
    <row r="931" spans="39:48" ht="16.5" customHeight="1">
      <c r="AM931" s="1545" t="str">
        <f>IF(AT928&gt;=0,"увеличени    с","н а м а л е н и  с")</f>
        <v>увеличени    с</v>
      </c>
      <c r="AN931" s="1545"/>
      <c r="AO931" s="1361">
        <f>AT928</f>
        <v>3.944067158831089</v>
      </c>
      <c r="AP931" s="1340" t="s">
        <v>111</v>
      </c>
      <c r="AQ931" s="608"/>
      <c r="AR931" s="1485" t="str">
        <f>IF(AT928&lt;=0,"положително","отрицателно")</f>
        <v>отрицателно</v>
      </c>
      <c r="AS931" s="1485"/>
      <c r="AT931" s="1543" t="s">
        <v>112</v>
      </c>
      <c r="AU931" s="1543"/>
      <c r="AV931" s="62"/>
    </row>
    <row r="932" spans="39:48" ht="16.5" customHeight="1">
      <c r="AM932" s="231" t="s">
        <v>113</v>
      </c>
      <c r="AN932" s="110"/>
      <c r="AO932" s="110"/>
      <c r="AP932" s="110"/>
      <c r="AQ932" s="110"/>
      <c r="AR932" s="608"/>
      <c r="AS932" s="608"/>
      <c r="AT932" s="608"/>
      <c r="AU932" s="608"/>
      <c r="AV932" s="62"/>
    </row>
    <row r="933" spans="39:48" ht="16.5" customHeight="1">
      <c r="AM933" s="1340"/>
      <c r="AN933" s="1362" t="s">
        <v>114</v>
      </c>
      <c r="AO933" s="1340"/>
      <c r="AP933" s="1340"/>
      <c r="AQ933" s="608"/>
      <c r="AR933" s="608"/>
      <c r="AS933" s="608"/>
      <c r="AT933" s="608"/>
      <c r="AU933" s="1340"/>
      <c r="AV933" s="62"/>
    </row>
    <row r="934" spans="39:48" ht="16.5" customHeight="1">
      <c r="AM934" s="909">
        <v>1</v>
      </c>
      <c r="AN934" s="1363" t="str">
        <f>IF(AT916&gt;=0,"Увеличаване  на","Намаляване  на")</f>
        <v>Намаляване  на</v>
      </c>
      <c r="AO934" s="760"/>
      <c r="AP934" s="986" t="s">
        <v>115</v>
      </c>
      <c r="AQ934" s="1340"/>
      <c r="AR934" s="1340"/>
      <c r="AS934" s="1364">
        <f>AR916/AS925*100-AS928</f>
        <v>-7.2021453198825185</v>
      </c>
      <c r="AT934" s="608"/>
      <c r="AU934" s="1340"/>
      <c r="AV934" s="62"/>
    </row>
    <row r="935" spans="39:48" ht="16.5" customHeight="1">
      <c r="AM935" s="1104" t="s">
        <v>116</v>
      </c>
      <c r="AN935" s="1484" t="str">
        <f>IF(AT913&gt;=0,"От увеличаване  на","От намаляване  на")</f>
        <v>От намаляване  на</v>
      </c>
      <c r="AO935" s="1484"/>
      <c r="AP935" s="1365" t="s">
        <v>117</v>
      </c>
      <c r="AQ935" s="1365"/>
      <c r="AR935" s="1365"/>
      <c r="AS935" s="1365"/>
      <c r="AT935" s="1364">
        <f>AT913*AS934/AT916</f>
        <v>-7.240454603498915</v>
      </c>
      <c r="AU935" s="608"/>
      <c r="AV935" s="62"/>
    </row>
    <row r="936" spans="39:48" ht="16.5" customHeight="1">
      <c r="AM936" s="1366" t="s">
        <v>118</v>
      </c>
      <c r="AN936" s="1484" t="str">
        <f>IF(AT910&gt;=0,"от увеличаване  на","от намаляване  на")</f>
        <v>от увеличаване  на</v>
      </c>
      <c r="AO936" s="1484"/>
      <c r="AP936" s="110" t="s">
        <v>119</v>
      </c>
      <c r="AQ936" s="1340"/>
      <c r="AR936" s="1340"/>
      <c r="AS936" s="1340"/>
      <c r="AT936" s="1340"/>
      <c r="AU936" s="1364">
        <f>AT910*AT935/AT913</f>
        <v>6.627506065636573</v>
      </c>
      <c r="AV936" s="62"/>
    </row>
    <row r="937" spans="39:48" ht="16.5" customHeight="1">
      <c r="AM937" s="1366" t="s">
        <v>118</v>
      </c>
      <c r="AN937" s="1484" t="str">
        <f>IF(AT911&gt;=0,"от увеличаване  на","от намаляване  на")</f>
        <v>от намаляване  на</v>
      </c>
      <c r="AO937" s="1484"/>
      <c r="AP937" s="110" t="s">
        <v>120</v>
      </c>
      <c r="AQ937" s="1340"/>
      <c r="AR937" s="1340"/>
      <c r="AS937" s="1340"/>
      <c r="AT937" s="1340"/>
      <c r="AU937" s="1364">
        <f>AT911*AT935/AT913</f>
        <v>-15.732345805133445</v>
      </c>
      <c r="AV937" s="62"/>
    </row>
    <row r="938" spans="39:48" ht="16.5" customHeight="1">
      <c r="AM938" s="1366" t="s">
        <v>118</v>
      </c>
      <c r="AN938" s="1484" t="str">
        <f>IF(AT912&gt;=0,"от увеличаване  на","от намаляване  на")</f>
        <v>от увеличаване  на</v>
      </c>
      <c r="AO938" s="1484"/>
      <c r="AP938" s="110" t="s">
        <v>121</v>
      </c>
      <c r="AQ938" s="1340"/>
      <c r="AR938" s="1340"/>
      <c r="AS938" s="1340"/>
      <c r="AT938" s="1340"/>
      <c r="AU938" s="1364">
        <f>AT912*AT935/AT913</f>
        <v>1.8643851359979566</v>
      </c>
      <c r="AV938" s="62"/>
    </row>
    <row r="939" spans="39:48" ht="16.5" customHeight="1">
      <c r="AM939" s="1104" t="s">
        <v>122</v>
      </c>
      <c r="AN939" s="1484" t="str">
        <f>IF(AT914&gt;=0,"От увеличаване  на","От намаляване  на")</f>
        <v>От увеличаване  на</v>
      </c>
      <c r="AO939" s="1484"/>
      <c r="AP939" s="1340" t="s">
        <v>123</v>
      </c>
      <c r="AQ939" s="1340"/>
      <c r="AR939" s="1340"/>
      <c r="AS939" s="1340"/>
      <c r="AT939" s="1364">
        <f>AT914*AS934/AT916</f>
        <v>0</v>
      </c>
      <c r="AU939" s="608"/>
      <c r="AV939" s="62"/>
    </row>
    <row r="940" spans="39:48" ht="16.5" customHeight="1">
      <c r="AM940" s="1104" t="s">
        <v>124</v>
      </c>
      <c r="AN940" s="1484" t="str">
        <f>IF(AT915&gt;=0,"От увеличаване  на","От намаляване  на")</f>
        <v>От увеличаване  на</v>
      </c>
      <c r="AO940" s="1484"/>
      <c r="AP940" s="1340" t="s">
        <v>125</v>
      </c>
      <c r="AQ940" s="1340"/>
      <c r="AR940" s="1340"/>
      <c r="AS940" s="1367"/>
      <c r="AT940" s="1364">
        <f>AT915*AS934/AT916</f>
        <v>0.03830928361639638</v>
      </c>
      <c r="AU940" s="608"/>
      <c r="AV940" s="62"/>
    </row>
    <row r="941" spans="39:48" ht="16.5" customHeight="1">
      <c r="AM941" s="909">
        <v>2</v>
      </c>
      <c r="AN941" s="1363" t="str">
        <f>IF(AT925&gt;=0,"Увеличаване  на","Намаляване  на")</f>
        <v>Намаляване  на</v>
      </c>
      <c r="AO941" s="760"/>
      <c r="AP941" s="986" t="s">
        <v>126</v>
      </c>
      <c r="AQ941" s="1340"/>
      <c r="AR941" s="1367"/>
      <c r="AS941" s="1364">
        <f>AR928-(AR916/AS925)*100</f>
        <v>11.146212478713608</v>
      </c>
      <c r="AT941" s="608"/>
      <c r="AU941" s="1340"/>
      <c r="AV941" s="62"/>
    </row>
    <row r="942" spans="39:48" ht="16.5" customHeight="1">
      <c r="AM942" s="1104" t="s">
        <v>116</v>
      </c>
      <c r="AN942" s="1484" t="str">
        <f>IF(AT923&gt;=0,"От увеличаване  на","От намаляване  на")</f>
        <v>От намаляване  на</v>
      </c>
      <c r="AO942" s="1484"/>
      <c r="AP942" s="1365" t="s">
        <v>127</v>
      </c>
      <c r="AQ942" s="1365"/>
      <c r="AR942" s="1365"/>
      <c r="AS942" s="1365"/>
      <c r="AT942" s="1364">
        <f>AT923*AS941/AT925</f>
        <v>11.146212478713608</v>
      </c>
      <c r="AU942" s="608"/>
      <c r="AV942" s="62"/>
    </row>
    <row r="943" spans="39:48" ht="16.5" customHeight="1">
      <c r="AM943" s="1366" t="s">
        <v>118</v>
      </c>
      <c r="AN943" s="1484" t="str">
        <f>IF(AT920&gt;=0,"от увеличаване  на","от намаляване  на")</f>
        <v>от намаляване  на</v>
      </c>
      <c r="AO943" s="1484"/>
      <c r="AP943" s="110" t="s">
        <v>128</v>
      </c>
      <c r="AQ943" s="1365"/>
      <c r="AR943" s="1365"/>
      <c r="AS943" s="1365"/>
      <c r="AT943" s="1365"/>
      <c r="AU943" s="1364">
        <f>AT920*AT942/AT923</f>
        <v>10.315907711676251</v>
      </c>
      <c r="AV943" s="62"/>
    </row>
    <row r="944" spans="39:48" ht="16.5" customHeight="1">
      <c r="AM944" s="1366" t="s">
        <v>118</v>
      </c>
      <c r="AN944" s="1484" t="str">
        <f>IF(AT921&gt;=0,"от увеличаване  на","от намаляване  на")</f>
        <v>от намаляване  на</v>
      </c>
      <c r="AO944" s="1484"/>
      <c r="AP944" s="110" t="s">
        <v>129</v>
      </c>
      <c r="AQ944" s="1365"/>
      <c r="AR944" s="1365"/>
      <c r="AS944" s="1365"/>
      <c r="AT944" s="1365"/>
      <c r="AU944" s="1364">
        <f>AT921*AT942/AT923</f>
        <v>3.1450938145354423</v>
      </c>
      <c r="AV944" s="62"/>
    </row>
    <row r="945" spans="39:48" ht="16.5" customHeight="1">
      <c r="AM945" s="1366" t="s">
        <v>118</v>
      </c>
      <c r="AN945" s="1484" t="str">
        <f>IF(AT922&gt;=0,"от увеличаване  на","от намаляване  на")</f>
        <v>от увеличаване  на</v>
      </c>
      <c r="AO945" s="1484"/>
      <c r="AP945" s="110" t="s">
        <v>130</v>
      </c>
      <c r="AQ945" s="1365"/>
      <c r="AR945" s="1365"/>
      <c r="AS945" s="1365"/>
      <c r="AT945" s="1365"/>
      <c r="AU945" s="1364">
        <f>AT922*AT942/AT923</f>
        <v>-2.3147890474980857</v>
      </c>
      <c r="AV945" s="62"/>
    </row>
    <row r="946" spans="39:48" ht="16.5" customHeight="1">
      <c r="AM946" s="1104" t="s">
        <v>122</v>
      </c>
      <c r="AN946" s="1484" t="str">
        <f>IF(AT924&gt;=0,"От увеличаване  на","От намаляване  на")</f>
        <v>От увеличаване  на</v>
      </c>
      <c r="AO946" s="1484"/>
      <c r="AP946" s="1340" t="s">
        <v>131</v>
      </c>
      <c r="AQ946" s="1340"/>
      <c r="AR946" s="1368"/>
      <c r="AS946" s="1368"/>
      <c r="AT946" s="1364">
        <f>AT924*AS941/AT925</f>
        <v>0</v>
      </c>
      <c r="AU946" s="608"/>
      <c r="AV946" s="62"/>
    </row>
    <row r="947" spans="39:48" ht="16.5" customHeight="1">
      <c r="AM947" s="1340"/>
      <c r="AN947" s="1340"/>
      <c r="AO947" s="1340"/>
      <c r="AP947" s="1340"/>
      <c r="AQ947" s="1340"/>
      <c r="AR947" s="1369" t="s">
        <v>2230</v>
      </c>
      <c r="AS947" s="1364">
        <f>AS934+AS941</f>
        <v>3.944067158831089</v>
      </c>
      <c r="AT947" s="231" t="s">
        <v>1799</v>
      </c>
      <c r="AU947" s="1340"/>
      <c r="AV947" s="62"/>
    </row>
    <row r="948" spans="39:48" ht="7.5" customHeight="1">
      <c r="AM948" s="666"/>
      <c r="AN948" s="666"/>
      <c r="AO948" s="666"/>
      <c r="AP948" s="666"/>
      <c r="AQ948" s="666"/>
      <c r="AR948" s="666"/>
      <c r="AS948" s="666"/>
      <c r="AT948" s="666"/>
      <c r="AU948" s="666"/>
      <c r="AV948" s="62"/>
    </row>
    <row r="949" spans="39:47" ht="21" customHeight="1">
      <c r="AM949" s="765" t="s">
        <v>872</v>
      </c>
      <c r="AN949" s="854"/>
      <c r="AO949" s="854"/>
      <c r="AP949" s="854"/>
      <c r="AQ949" s="854"/>
      <c r="AR949" s="854"/>
      <c r="AS949" s="854"/>
      <c r="AT949" s="760"/>
      <c r="AU949" s="608"/>
    </row>
    <row r="950" spans="39:47" ht="21" customHeight="1" thickBot="1">
      <c r="AM950" s="765" t="str">
        <f>AM513</f>
        <v>"В И Н З А В О Д"  А Д - гр. АСЕНОВГРАД</v>
      </c>
      <c r="AN950" s="854"/>
      <c r="AO950" s="854"/>
      <c r="AP950" s="854"/>
      <c r="AQ950" s="854"/>
      <c r="AR950" s="854"/>
      <c r="AS950" s="854"/>
      <c r="AT950" s="760"/>
      <c r="AU950" s="667" t="s">
        <v>1610</v>
      </c>
    </row>
    <row r="951" spans="39:47" ht="21" customHeight="1">
      <c r="AM951" s="939" t="s">
        <v>1612</v>
      </c>
      <c r="AN951" s="940" t="s">
        <v>881</v>
      </c>
      <c r="AO951" s="941"/>
      <c r="AP951" s="941"/>
      <c r="AQ951" s="941"/>
      <c r="AR951" s="829" t="str">
        <f>$P$275</f>
        <v>Текущ период</v>
      </c>
      <c r="AS951" s="830"/>
      <c r="AT951" s="1508" t="str">
        <f>$S$275</f>
        <v>Предходен период</v>
      </c>
      <c r="AU951" s="1522"/>
    </row>
    <row r="952" spans="39:47" ht="21" customHeight="1" thickBot="1">
      <c r="AM952" s="833"/>
      <c r="AN952" s="942" t="s">
        <v>174</v>
      </c>
      <c r="AO952" s="943"/>
      <c r="AP952" s="943"/>
      <c r="AQ952" s="943"/>
      <c r="AR952" s="835" t="s">
        <v>1614</v>
      </c>
      <c r="AS952" s="944" t="s">
        <v>1615</v>
      </c>
      <c r="AT952" s="835" t="s">
        <v>1614</v>
      </c>
      <c r="AU952" s="945" t="s">
        <v>1615</v>
      </c>
    </row>
    <row r="953" spans="39:47" ht="21" customHeight="1">
      <c r="AM953" s="805" t="s">
        <v>1616</v>
      </c>
      <c r="AN953" s="789" t="s">
        <v>1829</v>
      </c>
      <c r="AO953" s="789"/>
      <c r="AP953" s="789"/>
      <c r="AQ953" s="789"/>
      <c r="AR953" s="207">
        <f aca="true" t="shared" si="29" ref="AR953:AR958">K185</f>
        <v>4859</v>
      </c>
      <c r="AS953" s="912">
        <f>AR953/$AR$961</f>
        <v>0.713824004701043</v>
      </c>
      <c r="AT953" s="207">
        <f aca="true" t="shared" si="30" ref="AT953:AT958">L185</f>
        <v>4283</v>
      </c>
      <c r="AU953" s="105">
        <f>AT953/$AT$961</f>
        <v>0.5808245185787904</v>
      </c>
    </row>
    <row r="954" spans="39:47" ht="21" customHeight="1">
      <c r="AM954" s="805" t="s">
        <v>2455</v>
      </c>
      <c r="AN954" s="789" t="s">
        <v>57</v>
      </c>
      <c r="AO954" s="789"/>
      <c r="AP954" s="789"/>
      <c r="AQ954" s="789"/>
      <c r="AR954" s="207">
        <f t="shared" si="29"/>
        <v>498</v>
      </c>
      <c r="AS954" s="845">
        <f>AR954/$AR$961</f>
        <v>0.07315998237108859</v>
      </c>
      <c r="AT954" s="96">
        <f t="shared" si="30"/>
        <v>518</v>
      </c>
      <c r="AU954" s="105">
        <f aca="true" t="shared" si="31" ref="AU954:AU961">AT954/$AT$961</f>
        <v>0.07024681312720368</v>
      </c>
    </row>
    <row r="955" spans="39:47" ht="21" customHeight="1">
      <c r="AM955" s="805" t="s">
        <v>819</v>
      </c>
      <c r="AN955" s="789" t="s">
        <v>1342</v>
      </c>
      <c r="AO955" s="789"/>
      <c r="AP955" s="789"/>
      <c r="AQ955" s="789"/>
      <c r="AR955" s="207">
        <f t="shared" si="29"/>
        <v>442</v>
      </c>
      <c r="AS955" s="845">
        <f aca="true" t="shared" si="32" ref="AS955:AS961">AR955/$AR$961</f>
        <v>0.06493315704421919</v>
      </c>
      <c r="AT955" s="96">
        <f t="shared" si="30"/>
        <v>462</v>
      </c>
      <c r="AU955" s="105">
        <f t="shared" si="31"/>
        <v>0.06265256305939788</v>
      </c>
    </row>
    <row r="956" spans="39:47" ht="21" customHeight="1">
      <c r="AM956" s="805" t="s">
        <v>1213</v>
      </c>
      <c r="AN956" s="789" t="s">
        <v>1343</v>
      </c>
      <c r="AO956" s="789"/>
      <c r="AP956" s="789"/>
      <c r="AQ956" s="789"/>
      <c r="AR956" s="207">
        <f t="shared" si="29"/>
        <v>881</v>
      </c>
      <c r="AS956" s="845">
        <f t="shared" si="32"/>
        <v>0.12942559130307038</v>
      </c>
      <c r="AT956" s="96">
        <f t="shared" si="30"/>
        <v>776</v>
      </c>
      <c r="AU956" s="105">
        <f t="shared" si="31"/>
        <v>0.10523460808245186</v>
      </c>
    </row>
    <row r="957" spans="39:47" ht="21" customHeight="1">
      <c r="AM957" s="805" t="s">
        <v>1215</v>
      </c>
      <c r="AN957" s="789" t="s">
        <v>1344</v>
      </c>
      <c r="AO957" s="789"/>
      <c r="AP957" s="789"/>
      <c r="AQ957" s="789"/>
      <c r="AR957" s="207">
        <f t="shared" si="29"/>
        <v>192</v>
      </c>
      <c r="AS957" s="845">
        <f t="shared" si="32"/>
        <v>0.028206258263552227</v>
      </c>
      <c r="AT957" s="96">
        <f t="shared" si="30"/>
        <v>183</v>
      </c>
      <c r="AU957" s="105">
        <f t="shared" si="31"/>
        <v>0.02481692432872254</v>
      </c>
    </row>
    <row r="958" spans="39:47" ht="21" customHeight="1">
      <c r="AM958" s="788" t="s">
        <v>1216</v>
      </c>
      <c r="AN958" s="789" t="s">
        <v>58</v>
      </c>
      <c r="AO958" s="789"/>
      <c r="AP958" s="789"/>
      <c r="AQ958" s="789"/>
      <c r="AR958" s="207">
        <f t="shared" si="29"/>
        <v>106</v>
      </c>
      <c r="AS958" s="845">
        <f t="shared" si="32"/>
        <v>0.01557220508300279</v>
      </c>
      <c r="AT958" s="96">
        <f t="shared" si="30"/>
        <v>237</v>
      </c>
      <c r="AU958" s="105">
        <f t="shared" si="31"/>
        <v>0.03213995117982099</v>
      </c>
    </row>
    <row r="959" spans="39:47" ht="21" customHeight="1">
      <c r="AM959" s="807">
        <v>7</v>
      </c>
      <c r="AN959" s="799" t="s">
        <v>1345</v>
      </c>
      <c r="AO959" s="789"/>
      <c r="AP959" s="789"/>
      <c r="AQ959" s="806"/>
      <c r="AR959" s="207">
        <f>K201</f>
        <v>-599</v>
      </c>
      <c r="AS959" s="845">
        <f t="shared" si="32"/>
        <v>-0.08799764947847803</v>
      </c>
      <c r="AT959" s="96">
        <f>L201</f>
        <v>633</v>
      </c>
      <c r="AU959" s="105">
        <f t="shared" si="31"/>
        <v>0.08584214808787632</v>
      </c>
    </row>
    <row r="960" spans="39:47" ht="21" customHeight="1">
      <c r="AM960" s="805" t="s">
        <v>1218</v>
      </c>
      <c r="AN960" s="789" t="s">
        <v>1346</v>
      </c>
      <c r="AO960" s="789"/>
      <c r="AP960" s="789"/>
      <c r="AQ960" s="789"/>
      <c r="AR960" s="207">
        <f>K208</f>
        <v>428</v>
      </c>
      <c r="AS960" s="845">
        <f t="shared" si="32"/>
        <v>0.06287645071250184</v>
      </c>
      <c r="AT960" s="96">
        <f>L208</f>
        <v>282</v>
      </c>
      <c r="AU960" s="105">
        <f t="shared" si="31"/>
        <v>0.03824247355573637</v>
      </c>
    </row>
    <row r="961" spans="39:47" ht="21" customHeight="1" thickBot="1">
      <c r="AM961" s="946"/>
      <c r="AN961" s="935"/>
      <c r="AO961" s="947"/>
      <c r="AP961" s="947"/>
      <c r="AQ961" s="948" t="s">
        <v>2335</v>
      </c>
      <c r="AR961" s="928">
        <f>K209</f>
        <v>6807</v>
      </c>
      <c r="AS961" s="852">
        <f t="shared" si="32"/>
        <v>1</v>
      </c>
      <c r="AT961" s="928">
        <f>L209</f>
        <v>7374</v>
      </c>
      <c r="AU961" s="118">
        <f t="shared" si="31"/>
        <v>1</v>
      </c>
    </row>
    <row r="962" spans="39:48" ht="21" customHeight="1">
      <c r="AM962" s="666"/>
      <c r="AN962" s="666"/>
      <c r="AO962" s="949"/>
      <c r="AP962" s="666"/>
      <c r="AQ962" s="666"/>
      <c r="AR962" s="666"/>
      <c r="AS962" s="666"/>
      <c r="AT962" s="666"/>
      <c r="AU962" s="666"/>
      <c r="AV962" s="62">
        <f>+' -'!$B$11</f>
      </c>
    </row>
    <row r="963" spans="39:47" ht="21" customHeight="1" thickBot="1">
      <c r="AM963" s="765" t="s">
        <v>2022</v>
      </c>
      <c r="AN963" s="854"/>
      <c r="AO963" s="854"/>
      <c r="AP963" s="854"/>
      <c r="AQ963" s="854"/>
      <c r="AR963" s="854"/>
      <c r="AS963" s="854"/>
      <c r="AT963" s="760"/>
      <c r="AU963" s="667" t="s">
        <v>1610</v>
      </c>
    </row>
    <row r="964" spans="39:47" ht="21" customHeight="1">
      <c r="AM964" s="950"/>
      <c r="AN964" s="941"/>
      <c r="AO964" s="941"/>
      <c r="AP964" s="941"/>
      <c r="AQ964" s="941"/>
      <c r="AR964" s="875" t="str">
        <f>$D$7</f>
        <v>Текуща</v>
      </c>
      <c r="AS964" s="876" t="str">
        <f>$E$7</f>
        <v>Предходна</v>
      </c>
      <c r="AT964" s="774" t="s">
        <v>1611</v>
      </c>
      <c r="AU964" s="855"/>
    </row>
    <row r="965" spans="39:47" ht="21" customHeight="1">
      <c r="AM965" s="951" t="s">
        <v>1612</v>
      </c>
      <c r="AN965" s="879" t="s">
        <v>2179</v>
      </c>
      <c r="AO965" s="879"/>
      <c r="AP965" s="879"/>
      <c r="AQ965" s="879"/>
      <c r="AR965" s="880" t="str">
        <f>$D$8</f>
        <v>година</v>
      </c>
      <c r="AS965" s="881" t="str">
        <f>$E$8</f>
        <v>година</v>
      </c>
      <c r="AT965" s="857"/>
      <c r="AU965" s="858"/>
    </row>
    <row r="966" spans="39:47" ht="21" customHeight="1" thickBot="1">
      <c r="AM966" s="952"/>
      <c r="AN966" s="942" t="s">
        <v>2180</v>
      </c>
      <c r="AO966" s="943"/>
      <c r="AP966" s="943"/>
      <c r="AQ966" s="943"/>
      <c r="AR966" s="835" t="s">
        <v>1614</v>
      </c>
      <c r="AS966" s="885" t="s">
        <v>1614</v>
      </c>
      <c r="AT966" s="786" t="s">
        <v>1614</v>
      </c>
      <c r="AU966" s="787" t="s">
        <v>1615</v>
      </c>
    </row>
    <row r="967" spans="39:47" ht="21" customHeight="1">
      <c r="AM967" s="805">
        <v>1</v>
      </c>
      <c r="AN967" s="789" t="s">
        <v>1350</v>
      </c>
      <c r="AO967" s="789"/>
      <c r="AP967" s="789"/>
      <c r="AQ967" s="789"/>
      <c r="AR967" s="207">
        <f aca="true" t="shared" si="33" ref="AR967:AS969">D61</f>
        <v>1001</v>
      </c>
      <c r="AS967" s="207">
        <f t="shared" si="33"/>
        <v>990</v>
      </c>
      <c r="AT967" s="207">
        <f aca="true" t="shared" si="34" ref="AT967:AT972">AR967-AS967</f>
        <v>11</v>
      </c>
      <c r="AU967" s="103">
        <f aca="true" t="shared" si="35" ref="AU967:AU972">IF(AND(AS967=0,AR967=0),0,IF(AS967&lt;&gt;0,AT967/ABS(AS967),IF(AS967=0,AT967/ABS(AR967),FLASE)))</f>
        <v>0.011111111111111112</v>
      </c>
    </row>
    <row r="968" spans="39:47" ht="21" customHeight="1">
      <c r="AM968" s="788">
        <v>2</v>
      </c>
      <c r="AN968" s="789" t="s">
        <v>1351</v>
      </c>
      <c r="AO968" s="789"/>
      <c r="AP968" s="789"/>
      <c r="AQ968" s="789"/>
      <c r="AR968" s="207">
        <f t="shared" si="33"/>
        <v>6205</v>
      </c>
      <c r="AS968" s="207">
        <f t="shared" si="33"/>
        <v>5571</v>
      </c>
      <c r="AT968" s="96">
        <f t="shared" si="34"/>
        <v>634</v>
      </c>
      <c r="AU968" s="95">
        <f t="shared" si="35"/>
        <v>0.11380362591994256</v>
      </c>
    </row>
    <row r="969" spans="39:47" ht="21" customHeight="1">
      <c r="AM969" s="788">
        <v>3</v>
      </c>
      <c r="AN969" s="789" t="s">
        <v>1355</v>
      </c>
      <c r="AO969" s="789"/>
      <c r="AP969" s="789"/>
      <c r="AQ969" s="789"/>
      <c r="AR969" s="207">
        <f t="shared" si="33"/>
        <v>13</v>
      </c>
      <c r="AS969" s="207">
        <f t="shared" si="33"/>
        <v>11</v>
      </c>
      <c r="AT969" s="96">
        <f t="shared" si="34"/>
        <v>2</v>
      </c>
      <c r="AU969" s="95">
        <f t="shared" si="35"/>
        <v>0.18181818181818182</v>
      </c>
    </row>
    <row r="970" spans="39:48" ht="21" customHeight="1">
      <c r="AM970" s="788">
        <v>4</v>
      </c>
      <c r="AN970" s="789" t="str">
        <f>B66</f>
        <v> Незавършено производство</v>
      </c>
      <c r="AO970" s="789"/>
      <c r="AP970" s="789"/>
      <c r="AQ970" s="789"/>
      <c r="AR970" s="207">
        <f>D66</f>
        <v>0</v>
      </c>
      <c r="AS970" s="207">
        <f>E66</f>
        <v>0</v>
      </c>
      <c r="AT970" s="96">
        <f t="shared" si="34"/>
        <v>0</v>
      </c>
      <c r="AU970" s="95">
        <f t="shared" si="35"/>
        <v>0</v>
      </c>
      <c r="AV970" s="64"/>
    </row>
    <row r="971" spans="39:48" ht="21" customHeight="1">
      <c r="AM971" s="788">
        <v>5</v>
      </c>
      <c r="AN971" s="789" t="s">
        <v>175</v>
      </c>
      <c r="AO971" s="789"/>
      <c r="AP971" s="789"/>
      <c r="AQ971" s="789"/>
      <c r="AR971" s="207">
        <f>D64+D65+D67</f>
        <v>0</v>
      </c>
      <c r="AS971" s="207">
        <f>E64+E65+E67</f>
        <v>0</v>
      </c>
      <c r="AT971" s="96">
        <f t="shared" si="34"/>
        <v>0</v>
      </c>
      <c r="AU971" s="95">
        <f t="shared" si="35"/>
        <v>0</v>
      </c>
      <c r="AV971" s="64"/>
    </row>
    <row r="972" spans="39:47" ht="21" customHeight="1" thickBot="1">
      <c r="AM972" s="953"/>
      <c r="AN972" s="935"/>
      <c r="AO972" s="947"/>
      <c r="AP972" s="947"/>
      <c r="AQ972" s="948" t="s">
        <v>2334</v>
      </c>
      <c r="AR972" s="212">
        <f>D68</f>
        <v>7219</v>
      </c>
      <c r="AS972" s="212">
        <f>E68</f>
        <v>6572</v>
      </c>
      <c r="AT972" s="928">
        <f t="shared" si="34"/>
        <v>647</v>
      </c>
      <c r="AU972" s="900">
        <f t="shared" si="35"/>
        <v>0.09844796104686548</v>
      </c>
    </row>
    <row r="973" spans="39:48" ht="9" customHeight="1">
      <c r="AM973" s="666"/>
      <c r="AN973" s="666"/>
      <c r="AO973" s="666"/>
      <c r="AP973" s="666"/>
      <c r="AQ973" s="666"/>
      <c r="AR973" s="666"/>
      <c r="AS973" s="666"/>
      <c r="AT973" s="666"/>
      <c r="AU973" s="666"/>
      <c r="AV973" s="62">
        <f>+' -'!$C$12</f>
      </c>
    </row>
    <row r="974" spans="39:47" ht="21" customHeight="1" thickBot="1">
      <c r="AM974" s="765" t="s">
        <v>374</v>
      </c>
      <c r="AN974" s="854"/>
      <c r="AO974" s="854"/>
      <c r="AP974" s="854"/>
      <c r="AQ974" s="854"/>
      <c r="AR974" s="854"/>
      <c r="AS974" s="854"/>
      <c r="AT974" s="760"/>
      <c r="AU974" s="667" t="s">
        <v>1610</v>
      </c>
    </row>
    <row r="975" spans="39:47" ht="21" customHeight="1">
      <c r="AM975" s="939" t="s">
        <v>1612</v>
      </c>
      <c r="AN975" s="940" t="s">
        <v>375</v>
      </c>
      <c r="AO975" s="941"/>
      <c r="AP975" s="941"/>
      <c r="AQ975" s="941"/>
      <c r="AR975" s="829" t="str">
        <f>$P$275</f>
        <v>Текущ период</v>
      </c>
      <c r="AS975" s="830"/>
      <c r="AT975" s="1508" t="str">
        <f>$S$275</f>
        <v>Предходен период</v>
      </c>
      <c r="AU975" s="1522"/>
    </row>
    <row r="976" spans="39:47" ht="21" customHeight="1" thickBot="1">
      <c r="AM976" s="882"/>
      <c r="AN976" s="942" t="s">
        <v>376</v>
      </c>
      <c r="AO976" s="943"/>
      <c r="AP976" s="943"/>
      <c r="AQ976" s="943"/>
      <c r="AR976" s="944" t="s">
        <v>1614</v>
      </c>
      <c r="AS976" s="954" t="s">
        <v>1615</v>
      </c>
      <c r="AT976" s="944" t="s">
        <v>1614</v>
      </c>
      <c r="AU976" s="945" t="s">
        <v>1615</v>
      </c>
    </row>
    <row r="977" spans="39:47" ht="21" customHeight="1">
      <c r="AM977" s="788">
        <v>1</v>
      </c>
      <c r="AN977" s="789" t="s">
        <v>377</v>
      </c>
      <c r="AO977" s="789"/>
      <c r="AP977" s="789"/>
      <c r="AQ977" s="789"/>
      <c r="AR977" s="207">
        <f>D20</f>
        <v>6773</v>
      </c>
      <c r="AS977" s="913">
        <f aca="true" t="shared" si="36" ref="AS977:AS983">AR977/$AR$983</f>
        <v>0.7802995391705069</v>
      </c>
      <c r="AT977" s="207">
        <f>E20</f>
        <v>6985</v>
      </c>
      <c r="AU977" s="105">
        <f aca="true" t="shared" si="37" ref="AU977:AU983">AT977/$AT$983</f>
        <v>0.9991417536833072</v>
      </c>
    </row>
    <row r="978" spans="39:47" ht="21" customHeight="1">
      <c r="AM978" s="788">
        <v>2</v>
      </c>
      <c r="AN978" s="789" t="s">
        <v>378</v>
      </c>
      <c r="AO978" s="789"/>
      <c r="AP978" s="789"/>
      <c r="AQ978" s="789"/>
      <c r="AR978" s="207">
        <f>D26</f>
        <v>1</v>
      </c>
      <c r="AS978" s="913">
        <f t="shared" si="36"/>
        <v>0.0001152073732718894</v>
      </c>
      <c r="AT978" s="207">
        <f>E26</f>
        <v>6</v>
      </c>
      <c r="AU978" s="105">
        <f t="shared" si="37"/>
        <v>0.0008582463166928909</v>
      </c>
    </row>
    <row r="979" spans="39:47" ht="21" customHeight="1">
      <c r="AM979" s="788">
        <v>3</v>
      </c>
      <c r="AN979" s="789" t="s">
        <v>2181</v>
      </c>
      <c r="AO979" s="789"/>
      <c r="AP979" s="789"/>
      <c r="AQ979" s="789"/>
      <c r="AR979" s="207">
        <f>D45</f>
        <v>1906</v>
      </c>
      <c r="AS979" s="913">
        <f t="shared" si="36"/>
        <v>0.2195852534562212</v>
      </c>
      <c r="AT979" s="207">
        <f>E45</f>
        <v>0</v>
      </c>
      <c r="AU979" s="105">
        <f t="shared" si="37"/>
        <v>0</v>
      </c>
    </row>
    <row r="980" spans="39:47" ht="21" customHeight="1">
      <c r="AM980" s="788">
        <v>4</v>
      </c>
      <c r="AN980" s="789" t="s">
        <v>2333</v>
      </c>
      <c r="AO980" s="789"/>
      <c r="AP980" s="789"/>
      <c r="AQ980" s="789"/>
      <c r="AR980" s="207">
        <f>D55</f>
        <v>0</v>
      </c>
      <c r="AS980" s="913">
        <f t="shared" si="36"/>
        <v>0</v>
      </c>
      <c r="AT980" s="207">
        <f>E55</f>
        <v>0</v>
      </c>
      <c r="AU980" s="105">
        <f t="shared" si="37"/>
        <v>0</v>
      </c>
    </row>
    <row r="981" spans="39:47" ht="21" customHeight="1">
      <c r="AM981" s="788">
        <v>5</v>
      </c>
      <c r="AN981" s="789" t="s">
        <v>1394</v>
      </c>
      <c r="AO981" s="789"/>
      <c r="AP981" s="789"/>
      <c r="AQ981" s="789"/>
      <c r="AR981" s="207">
        <f>D56</f>
        <v>0</v>
      </c>
      <c r="AS981" s="913">
        <f t="shared" si="36"/>
        <v>0</v>
      </c>
      <c r="AT981" s="207">
        <f>E56</f>
        <v>0</v>
      </c>
      <c r="AU981" s="105">
        <f t="shared" si="37"/>
        <v>0</v>
      </c>
    </row>
    <row r="982" spans="39:48" ht="21" customHeight="1">
      <c r="AM982" s="788">
        <v>6</v>
      </c>
      <c r="AN982" s="789" t="str">
        <f>B57</f>
        <v> Активи по отсрочени даници</v>
      </c>
      <c r="AO982" s="789"/>
      <c r="AP982" s="789"/>
      <c r="AQ982" s="789"/>
      <c r="AR982" s="207">
        <f>D57</f>
        <v>0</v>
      </c>
      <c r="AS982" s="913">
        <f t="shared" si="36"/>
        <v>0</v>
      </c>
      <c r="AT982" s="207">
        <f>E57</f>
        <v>0</v>
      </c>
      <c r="AU982" s="105">
        <f t="shared" si="37"/>
        <v>0</v>
      </c>
      <c r="AV982" s="64"/>
    </row>
    <row r="983" spans="39:47" ht="21" customHeight="1" thickBot="1">
      <c r="AM983" s="953"/>
      <c r="AN983" s="814"/>
      <c r="AO983" s="814"/>
      <c r="AP983" s="814"/>
      <c r="AQ983" s="948" t="s">
        <v>2334</v>
      </c>
      <c r="AR983" s="212">
        <f>D58</f>
        <v>8680</v>
      </c>
      <c r="AS983" s="955">
        <f t="shared" si="36"/>
        <v>1</v>
      </c>
      <c r="AT983" s="212">
        <f>E58</f>
        <v>6991</v>
      </c>
      <c r="AU983" s="118">
        <f t="shared" si="37"/>
        <v>1</v>
      </c>
    </row>
    <row r="984" spans="39:48" ht="13.5" customHeight="1">
      <c r="AM984" s="608"/>
      <c r="AN984" s="608"/>
      <c r="AO984" s="608"/>
      <c r="AP984" s="608"/>
      <c r="AQ984" s="608"/>
      <c r="AR984" s="608"/>
      <c r="AS984" s="608"/>
      <c r="AT984" s="608"/>
      <c r="AU984" s="608"/>
      <c r="AV984" s="62">
        <f>+' -'!$B$11</f>
      </c>
    </row>
    <row r="985" spans="39:47" ht="21" customHeight="1">
      <c r="AM985" s="765" t="s">
        <v>873</v>
      </c>
      <c r="AN985" s="854"/>
      <c r="AO985" s="854"/>
      <c r="AP985" s="854"/>
      <c r="AQ985" s="854"/>
      <c r="AR985" s="854"/>
      <c r="AS985" s="854"/>
      <c r="AT985" s="760"/>
      <c r="AU985" s="608"/>
    </row>
    <row r="986" spans="39:47" ht="21" customHeight="1" thickBot="1">
      <c r="AM986" s="765" t="str">
        <f>AM513</f>
        <v>"В И Н З А В О Д"  А Д - гр. АСЕНОВГРАД</v>
      </c>
      <c r="AN986" s="854"/>
      <c r="AO986" s="854"/>
      <c r="AP986" s="854"/>
      <c r="AQ986" s="854"/>
      <c r="AR986" s="854"/>
      <c r="AS986" s="854"/>
      <c r="AT986" s="760"/>
      <c r="AU986" s="667" t="s">
        <v>1610</v>
      </c>
    </row>
    <row r="987" spans="39:47" ht="21" customHeight="1">
      <c r="AM987" s="769"/>
      <c r="AN987" s="956"/>
      <c r="AO987" s="957"/>
      <c r="AP987" s="957"/>
      <c r="AQ987" s="957"/>
      <c r="AR987" s="875" t="str">
        <f>$D$7</f>
        <v>Текуща</v>
      </c>
      <c r="AS987" s="876" t="str">
        <f>$E$7</f>
        <v>Предходна</v>
      </c>
      <c r="AT987" s="774" t="s">
        <v>1611</v>
      </c>
      <c r="AU987" s="855"/>
    </row>
    <row r="988" spans="39:47" ht="21" customHeight="1">
      <c r="AM988" s="776" t="s">
        <v>1612</v>
      </c>
      <c r="AN988" s="777" t="s">
        <v>1613</v>
      </c>
      <c r="AO988" s="778"/>
      <c r="AP988" s="778"/>
      <c r="AQ988" s="778"/>
      <c r="AR988" s="880" t="str">
        <f>$D$8</f>
        <v>година</v>
      </c>
      <c r="AS988" s="881" t="str">
        <f>$E$8</f>
        <v>година</v>
      </c>
      <c r="AT988" s="857"/>
      <c r="AU988" s="858"/>
    </row>
    <row r="989" spans="39:47" ht="21" customHeight="1" thickBot="1">
      <c r="AM989" s="782"/>
      <c r="AN989" s="958"/>
      <c r="AO989" s="959"/>
      <c r="AP989" s="959"/>
      <c r="AQ989" s="959"/>
      <c r="AR989" s="835" t="s">
        <v>1614</v>
      </c>
      <c r="AS989" s="885" t="s">
        <v>1614</v>
      </c>
      <c r="AT989" s="786" t="s">
        <v>1614</v>
      </c>
      <c r="AU989" s="787" t="s">
        <v>1615</v>
      </c>
    </row>
    <row r="990" spans="39:47" ht="21" customHeight="1">
      <c r="AM990" s="805">
        <v>1</v>
      </c>
      <c r="AN990" s="789" t="s">
        <v>570</v>
      </c>
      <c r="AO990" s="789"/>
      <c r="AP990" s="789"/>
      <c r="AQ990" s="789"/>
      <c r="AR990" s="207">
        <f>K247</f>
        <v>6945</v>
      </c>
      <c r="AS990" s="207">
        <f>L247</f>
        <v>7831</v>
      </c>
      <c r="AT990" s="207">
        <f aca="true" t="shared" si="38" ref="AT990:AT1008">AR990-AS990</f>
        <v>-886</v>
      </c>
      <c r="AU990" s="105">
        <f aca="true" t="shared" si="39" ref="AU990:AU1008">IF(AND(AS990=0,AR990=0),0,IF(AS990&lt;&gt;0,AT990/ABS(AS990),IF(AS990=0,AT990/ABS(AR990),FLASE)))</f>
        <v>-0.11314008428042395</v>
      </c>
    </row>
    <row r="991" spans="39:47" ht="21" customHeight="1">
      <c r="AM991" s="788">
        <v>2</v>
      </c>
      <c r="AN991" s="789" t="s">
        <v>2009</v>
      </c>
      <c r="AO991" s="789"/>
      <c r="AP991" s="789"/>
      <c r="AQ991" s="789"/>
      <c r="AR991" s="207">
        <f>K209</f>
        <v>6807</v>
      </c>
      <c r="AS991" s="207">
        <f>L209</f>
        <v>7374</v>
      </c>
      <c r="AT991" s="207">
        <f t="shared" si="38"/>
        <v>-567</v>
      </c>
      <c r="AU991" s="105">
        <f t="shared" si="39"/>
        <v>-0.07689178193653377</v>
      </c>
    </row>
    <row r="992" spans="39:47" ht="21" customHeight="1">
      <c r="AM992" s="805">
        <v>3</v>
      </c>
      <c r="AN992" s="790" t="s">
        <v>1696</v>
      </c>
      <c r="AO992" s="789"/>
      <c r="AP992" s="789"/>
      <c r="AQ992" s="789"/>
      <c r="AR992" s="96">
        <f>$AR$990-$AR$991</f>
        <v>138</v>
      </c>
      <c r="AS992" s="96">
        <f>$AS$990-$AS$991</f>
        <v>457</v>
      </c>
      <c r="AT992" s="207">
        <f t="shared" si="38"/>
        <v>-319</v>
      </c>
      <c r="AU992" s="105">
        <f t="shared" si="39"/>
        <v>-0.6980306345733042</v>
      </c>
    </row>
    <row r="993" spans="39:47" ht="21" customHeight="1">
      <c r="AM993" s="788">
        <v>4</v>
      </c>
      <c r="AN993" s="791" t="s">
        <v>1084</v>
      </c>
      <c r="AO993" s="789"/>
      <c r="AP993" s="789"/>
      <c r="AQ993" s="789"/>
      <c r="AR993" s="96">
        <f>AR994+K203-K239</f>
        <v>243</v>
      </c>
      <c r="AS993" s="96">
        <f>AS994+L203-L239</f>
        <v>667</v>
      </c>
      <c r="AT993" s="207">
        <f aca="true" t="shared" si="40" ref="AT993:AT998">AR993-AS993</f>
        <v>-424</v>
      </c>
      <c r="AU993" s="95">
        <f aca="true" t="shared" si="41" ref="AU993:AU998">IF(AND(AS993=0,AR993=0),0,IF(AS993&lt;&gt;0,AT993/ABS(AS993),IF(AS993=0,AT993/ABS(AR993),FLASE)))</f>
        <v>-0.6356821589205397</v>
      </c>
    </row>
    <row r="994" spans="39:58" ht="21" customHeight="1">
      <c r="AM994" s="805">
        <v>5</v>
      </c>
      <c r="AN994" s="960" t="s">
        <v>2336</v>
      </c>
      <c r="AO994" s="789"/>
      <c r="AP994" s="789"/>
      <c r="AQ994" s="789"/>
      <c r="AR994" s="96">
        <f>IF(' -'!$C$12="",Анализ!$K$214-$K$252,Анализ!$AS$998)</f>
        <v>138</v>
      </c>
      <c r="AS994" s="96">
        <f>IF(' -'!$C$12="",Анализ!$L$214-$L$252,Анализ!$AR$998)</f>
        <v>457</v>
      </c>
      <c r="AT994" s="207">
        <f t="shared" si="40"/>
        <v>-319</v>
      </c>
      <c r="AU994" s="105">
        <f t="shared" si="41"/>
        <v>-0.6980306345733042</v>
      </c>
      <c r="AV994" s="63"/>
      <c r="BF994" s="275" t="s">
        <v>1455</v>
      </c>
    </row>
    <row r="995" spans="39:58" ht="21" customHeight="1">
      <c r="AM995" s="788">
        <v>6</v>
      </c>
      <c r="AN995" s="960" t="s">
        <v>2337</v>
      </c>
      <c r="AO995" s="789"/>
      <c r="AP995" s="789"/>
      <c r="AQ995" s="789"/>
      <c r="AR995" s="96">
        <f>IF(' -'!$B$11="",Анализ!$K$218-$K$253,Анализ!$AS$1003)</f>
        <v>103</v>
      </c>
      <c r="AS995" s="96">
        <f>IF(' -'!$B$11="",Анализ!$L$218-$L$253,Анализ!$AR$1003)</f>
        <v>425</v>
      </c>
      <c r="AT995" s="207">
        <f t="shared" si="40"/>
        <v>-322</v>
      </c>
      <c r="AU995" s="105">
        <f t="shared" si="41"/>
        <v>-0.7576470588235295</v>
      </c>
      <c r="AV995" s="63"/>
      <c r="BF995" s="275" t="s">
        <v>1455</v>
      </c>
    </row>
    <row r="996" spans="39:58" ht="21" customHeight="1">
      <c r="AM996" s="805">
        <v>7</v>
      </c>
      <c r="AN996" s="694" t="s">
        <v>2237</v>
      </c>
      <c r="AO996" s="789"/>
      <c r="AP996" s="789"/>
      <c r="AQ996" s="789"/>
      <c r="AR996" s="96">
        <f>IF(' -'!$B$11="",Анализ!$K$220-$K$255,Анализ!$AS$1004)</f>
        <v>103</v>
      </c>
      <c r="AS996" s="96">
        <f>IF(' -'!$B$11="",Анализ!$L$220-$L$255,Анализ!$AR$1004)</f>
        <v>425</v>
      </c>
      <c r="AT996" s="207">
        <f t="shared" si="40"/>
        <v>-322</v>
      </c>
      <c r="AU996" s="95">
        <f t="shared" si="41"/>
        <v>-0.7576470588235295</v>
      </c>
      <c r="AV996" s="63"/>
      <c r="BF996" s="275"/>
    </row>
    <row r="997" spans="39:58" ht="21" customHeight="1">
      <c r="AM997" s="788">
        <v>8</v>
      </c>
      <c r="AN997" s="789" t="s">
        <v>1332</v>
      </c>
      <c r="AO997" s="789"/>
      <c r="AP997" s="789"/>
      <c r="AQ997" s="789"/>
      <c r="AR997" s="96">
        <f>IF(' -'!$B$11="",Анализ!$K$222-$K$257,Анализ!$AS$1003)</f>
        <v>103</v>
      </c>
      <c r="AS997" s="96">
        <f>IF(' -'!$B$11="",Анализ!$L$222-$L$257,Анализ!$AR$1003)</f>
        <v>425</v>
      </c>
      <c r="AT997" s="207">
        <f t="shared" si="40"/>
        <v>-322</v>
      </c>
      <c r="AU997" s="95">
        <f t="shared" si="41"/>
        <v>-0.7576470588235295</v>
      </c>
      <c r="AV997" s="63"/>
      <c r="BF997" s="275"/>
    </row>
    <row r="998" spans="39:49" ht="21" customHeight="1">
      <c r="AM998" s="805">
        <v>9</v>
      </c>
      <c r="AN998" s="789" t="s">
        <v>370</v>
      </c>
      <c r="AO998" s="789"/>
      <c r="AP998" s="789"/>
      <c r="AQ998" s="789"/>
      <c r="AR998" s="207">
        <f>K235</f>
        <v>6688</v>
      </c>
      <c r="AS998" s="207">
        <f>L235</f>
        <v>7508</v>
      </c>
      <c r="AT998" s="207">
        <f t="shared" si="40"/>
        <v>-820</v>
      </c>
      <c r="AU998" s="105">
        <f t="shared" si="41"/>
        <v>-0.10921683537559936</v>
      </c>
      <c r="AW998" t="s">
        <v>1315</v>
      </c>
    </row>
    <row r="999" spans="39:47" ht="21" customHeight="1">
      <c r="AM999" s="788">
        <v>10</v>
      </c>
      <c r="AN999" s="789" t="s">
        <v>1557</v>
      </c>
      <c r="AO999" s="789"/>
      <c r="AP999" s="789"/>
      <c r="AQ999" s="789"/>
      <c r="AR999" s="108">
        <f>AR992/AR991</f>
        <v>0.020273248126928163</v>
      </c>
      <c r="AS999" s="102">
        <f>AS992/AS991</f>
        <v>0.06197450501762951</v>
      </c>
      <c r="AT999" s="102">
        <f t="shared" si="38"/>
        <v>-0.041701256890701345</v>
      </c>
      <c r="AU999" s="105">
        <f t="shared" si="39"/>
        <v>-0.672877611186065</v>
      </c>
    </row>
    <row r="1000" spans="39:47" ht="21" customHeight="1">
      <c r="AM1000" s="805">
        <v>11</v>
      </c>
      <c r="AN1000" s="789" t="s">
        <v>1697</v>
      </c>
      <c r="AO1000" s="789"/>
      <c r="AP1000" s="789"/>
      <c r="AQ1000" s="789"/>
      <c r="AR1000" s="108">
        <f>AR992/AR998</f>
        <v>0.02063397129186603</v>
      </c>
      <c r="AS1000" s="102">
        <f>AS992/AS998</f>
        <v>0.06086840703249867</v>
      </c>
      <c r="AT1000" s="102">
        <f t="shared" si="38"/>
        <v>-0.04023443574063264</v>
      </c>
      <c r="AU1000" s="105">
        <f t="shared" si="39"/>
        <v>-0.6610068786447918</v>
      </c>
    </row>
    <row r="1001" spans="39:60" ht="21" customHeight="1">
      <c r="AM1001" s="788">
        <v>12</v>
      </c>
      <c r="AN1001" s="789" t="s">
        <v>1698</v>
      </c>
      <c r="AO1001" s="789"/>
      <c r="AP1001" s="789"/>
      <c r="AQ1001" s="789"/>
      <c r="AR1001" s="108">
        <f>AR994/AR998</f>
        <v>0.02063397129186603</v>
      </c>
      <c r="AS1001" s="102">
        <f>AS994/AS998</f>
        <v>0.06086840703249867</v>
      </c>
      <c r="AT1001" s="102">
        <f t="shared" si="38"/>
        <v>-0.04023443574063264</v>
      </c>
      <c r="AU1001" s="105">
        <f t="shared" si="39"/>
        <v>-0.6610068786447918</v>
      </c>
      <c r="BF1001" s="600" t="str">
        <f>+' -'!$E$21</f>
        <v>Програмата за финансов анализ е лицензирана на:</v>
      </c>
      <c r="BG1001" s="582"/>
      <c r="BH1001" s="582"/>
    </row>
    <row r="1002" spans="39:60" ht="21" customHeight="1">
      <c r="AM1002" s="805">
        <v>13</v>
      </c>
      <c r="AN1002" s="789" t="s">
        <v>1699</v>
      </c>
      <c r="AO1002" s="789"/>
      <c r="AP1002" s="789"/>
      <c r="AQ1002" s="789"/>
      <c r="AR1002" s="108">
        <f>AR995/AR998</f>
        <v>0.015400717703349283</v>
      </c>
      <c r="AS1002" s="102">
        <f>AS995/AS998</f>
        <v>0.05660628662759723</v>
      </c>
      <c r="AT1002" s="102">
        <f t="shared" si="38"/>
        <v>-0.04120556892424795</v>
      </c>
      <c r="AU1002" s="105">
        <f t="shared" si="39"/>
        <v>-0.7279327329017732</v>
      </c>
      <c r="BF1002" s="601"/>
      <c r="BG1002" s="10"/>
      <c r="BH1002" s="10"/>
    </row>
    <row r="1003" spans="39:60" ht="21" customHeight="1">
      <c r="AM1003" s="788">
        <v>14</v>
      </c>
      <c r="AN1003" s="791" t="s">
        <v>371</v>
      </c>
      <c r="AO1003" s="789"/>
      <c r="AP1003" s="789"/>
      <c r="AQ1003" s="789"/>
      <c r="AR1003" s="207">
        <f>$D$98</f>
        <v>21489</v>
      </c>
      <c r="AS1003" s="207">
        <f>$E$98</f>
        <v>19317</v>
      </c>
      <c r="AT1003" s="207">
        <f>AR1003-AS1003</f>
        <v>2172</v>
      </c>
      <c r="AU1003" s="105">
        <f>IF(AND(AS1003=0,AR1003=0),0,IF(AS1003&lt;&gt;0,AT1003/ABS(AS1003),IF(AS1003=0,AT1003/ABS(AR1003),FLASE)))</f>
        <v>0.11243981984780245</v>
      </c>
      <c r="BF1003" s="600" t="str">
        <f>+' -'!$E$22</f>
        <v>"В И Н З А В О Д"  А Д - гр. АСЕНОВГРАД</v>
      </c>
      <c r="BG1003" s="581"/>
      <c r="BH1003" s="581"/>
    </row>
    <row r="1004" spans="39:47" ht="21" customHeight="1">
      <c r="AM1004" s="805">
        <v>15</v>
      </c>
      <c r="AN1004" s="789" t="s">
        <v>2454</v>
      </c>
      <c r="AO1004" s="789"/>
      <c r="AP1004" s="789"/>
      <c r="AQ1004" s="789"/>
      <c r="AR1004" s="207">
        <f>$D$130</f>
        <v>13840</v>
      </c>
      <c r="AS1004" s="207">
        <f>$E$130</f>
        <v>13752</v>
      </c>
      <c r="AT1004" s="207">
        <f>AR1004-AS1004</f>
        <v>88</v>
      </c>
      <c r="AU1004" s="105">
        <f>IF(AND(AS1004=0,AR1004=0),0,IF(AS1004&lt;&gt;0,AT1004/ABS(AS1004),IF(AS1004=0,AT1004/ABS(AR1004),FLASE)))</f>
        <v>0.006399069226294357</v>
      </c>
    </row>
    <row r="1005" spans="39:47" ht="21" customHeight="1">
      <c r="AM1005" s="788">
        <v>16</v>
      </c>
      <c r="AN1005" s="791" t="s">
        <v>1668</v>
      </c>
      <c r="AO1005" s="792"/>
      <c r="AP1005" s="792"/>
      <c r="AQ1005" s="792"/>
      <c r="AR1005" s="207">
        <f>$D$144+$D$166</f>
        <v>7649</v>
      </c>
      <c r="AS1005" s="207">
        <f>$E$144+$E$166</f>
        <v>5565</v>
      </c>
      <c r="AT1005" s="207">
        <f t="shared" si="38"/>
        <v>2084</v>
      </c>
      <c r="AU1005" s="105">
        <f t="shared" si="39"/>
        <v>0.37448337825696315</v>
      </c>
    </row>
    <row r="1006" spans="39:47" ht="21" customHeight="1">
      <c r="AM1006" s="805">
        <v>17</v>
      </c>
      <c r="AN1006" s="789" t="s">
        <v>1700</v>
      </c>
      <c r="AO1006" s="789"/>
      <c r="AP1006" s="789"/>
      <c r="AQ1006" s="789"/>
      <c r="AR1006" s="108">
        <f>AR997/AR1003</f>
        <v>0.0047931499837125975</v>
      </c>
      <c r="AS1006" s="102">
        <f>AS995/AS1003</f>
        <v>0.02200134596469431</v>
      </c>
      <c r="AT1006" s="102">
        <f t="shared" si="38"/>
        <v>-0.01720819598098171</v>
      </c>
      <c r="AU1006" s="105">
        <f t="shared" si="39"/>
        <v>-0.7821428747402912</v>
      </c>
    </row>
    <row r="1007" spans="39:47" ht="21" customHeight="1">
      <c r="AM1007" s="788">
        <v>18</v>
      </c>
      <c r="AN1007" s="789" t="s">
        <v>1701</v>
      </c>
      <c r="AO1007" s="789"/>
      <c r="AP1007" s="789"/>
      <c r="AQ1007" s="789"/>
      <c r="AR1007" s="108">
        <f>AR997/AR1004</f>
        <v>0.007442196531791907</v>
      </c>
      <c r="AS1007" s="108">
        <f>AS997/AS1004</f>
        <v>0.03090459569517161</v>
      </c>
      <c r="AT1007" s="102">
        <f t="shared" si="38"/>
        <v>-0.023462399163379704</v>
      </c>
      <c r="AU1007" s="105">
        <f t="shared" si="39"/>
        <v>-0.759188031281877</v>
      </c>
    </row>
    <row r="1008" spans="39:47" ht="21" customHeight="1">
      <c r="AM1008" s="805">
        <v>19</v>
      </c>
      <c r="AN1008" s="791" t="s">
        <v>1702</v>
      </c>
      <c r="AO1008" s="792"/>
      <c r="AP1008" s="792"/>
      <c r="AQ1008" s="793"/>
      <c r="AR1008" s="380">
        <f>IF(AR1005=0,0,AR997/AR1005)</f>
        <v>0.013465812524513008</v>
      </c>
      <c r="AS1008" s="380">
        <f>IF(AS1005=0,0,AS995/AS1005)</f>
        <v>0.07637017070979335</v>
      </c>
      <c r="AT1008" s="380">
        <f t="shared" si="38"/>
        <v>-0.06290435818528034</v>
      </c>
      <c r="AU1008" s="115">
        <f t="shared" si="39"/>
        <v>-0.8236770665907884</v>
      </c>
    </row>
    <row r="1009" spans="39:48" ht="21" customHeight="1">
      <c r="AM1009" s="961"/>
      <c r="AN1009" s="962" t="s">
        <v>369</v>
      </c>
      <c r="AO1009" s="963"/>
      <c r="AP1009" s="963"/>
      <c r="AQ1009" s="964"/>
      <c r="AR1009" s="93"/>
      <c r="AS1009" s="93"/>
      <c r="AT1009" s="93"/>
      <c r="AU1009" s="965"/>
      <c r="AV1009" s="62">
        <f>+' -'!$B$11</f>
      </c>
    </row>
    <row r="1010" spans="39:47" ht="21" customHeight="1">
      <c r="AM1010" s="788">
        <v>20</v>
      </c>
      <c r="AN1010" s="966" t="s">
        <v>1703</v>
      </c>
      <c r="AO1010" s="792"/>
      <c r="AP1010" s="792"/>
      <c r="AQ1010" s="793"/>
      <c r="AR1010" s="967">
        <f>AR993/AR1003</f>
        <v>0.011308111126622923</v>
      </c>
      <c r="AS1010" s="967">
        <f>AS993/AS1003</f>
        <v>0.03452917119635554</v>
      </c>
      <c r="AT1010" s="377">
        <f aca="true" t="shared" si="42" ref="AT1010:AT1019">AR1010-AS1010</f>
        <v>-0.023221060069732617</v>
      </c>
      <c r="AU1010" s="95">
        <f aca="true" t="shared" si="43" ref="AU1010:AU1019">IF(AND(AS1010=0,AR1010=0),0,IF(AS1010&lt;&gt;0,AT1010/ABS(AS1010),IF(AS1010=0,AT1010/ABS(AR1010),FLASE)))</f>
        <v>-0.6725055732639055</v>
      </c>
    </row>
    <row r="1011" spans="39:47" ht="21" customHeight="1">
      <c r="AM1011" s="794">
        <v>21</v>
      </c>
      <c r="AN1011" s="968" t="s">
        <v>1704</v>
      </c>
      <c r="AO1011" s="110"/>
      <c r="AP1011" s="110"/>
      <c r="AQ1011" s="110"/>
      <c r="AR1011" s="969">
        <f>AR997/AR1004</f>
        <v>0.007442196531791907</v>
      </c>
      <c r="AS1011" s="969">
        <f>AS997/AS1004</f>
        <v>0.03090459569517161</v>
      </c>
      <c r="AT1011" s="379">
        <f t="shared" si="42"/>
        <v>-0.023462399163379704</v>
      </c>
      <c r="AU1011" s="107">
        <f t="shared" si="43"/>
        <v>-0.759188031281877</v>
      </c>
    </row>
    <row r="1012" spans="39:50" ht="21" customHeight="1">
      <c r="AM1012" s="788">
        <v>22</v>
      </c>
      <c r="AN1012" s="792" t="s">
        <v>1705</v>
      </c>
      <c r="AO1012" s="792"/>
      <c r="AP1012" s="792"/>
      <c r="AQ1012" s="792"/>
      <c r="AR1012" s="1210">
        <f>IF(AR996=0,0,AR997/AR996)</f>
        <v>1</v>
      </c>
      <c r="AS1012" s="1210">
        <f>IF(AS996=0,0,AS997/AS996)</f>
        <v>1</v>
      </c>
      <c r="AT1012" s="377">
        <f t="shared" si="42"/>
        <v>0</v>
      </c>
      <c r="AU1012" s="95">
        <f t="shared" si="43"/>
        <v>0</v>
      </c>
      <c r="AW1012" s="376">
        <f>AS1012*AR1013*AR1014*AR1015*AR1016*AR1017*AR1018</f>
        <v>0.007442196531791906</v>
      </c>
      <c r="AX1012" s="376">
        <f>AR1011-AW1012</f>
        <v>0</v>
      </c>
    </row>
    <row r="1013" spans="39:50" ht="21" customHeight="1">
      <c r="AM1013" s="794">
        <v>23</v>
      </c>
      <c r="AN1013" s="789" t="s">
        <v>1706</v>
      </c>
      <c r="AO1013" s="789"/>
      <c r="AP1013" s="789"/>
      <c r="AQ1013" s="789"/>
      <c r="AR1013" s="1210">
        <f>IF(AR995=0,0,AR996/AR995)</f>
        <v>1</v>
      </c>
      <c r="AS1013" s="1210">
        <f>IF(AS995=0,0,AS996/AS995)</f>
        <v>1</v>
      </c>
      <c r="AT1013" s="377">
        <f t="shared" si="42"/>
        <v>0</v>
      </c>
      <c r="AU1013" s="95">
        <f t="shared" si="43"/>
        <v>0</v>
      </c>
      <c r="AW1013" s="376">
        <f>AS1012*AS1013*AR1014*AR1015*AR1016*AR1017*AR1018</f>
        <v>0.007442196531791906</v>
      </c>
      <c r="AX1013" s="376">
        <f>AW1012-AW1013</f>
        <v>0</v>
      </c>
    </row>
    <row r="1014" spans="39:50" ht="21" customHeight="1">
      <c r="AM1014" s="788">
        <v>24</v>
      </c>
      <c r="AN1014" s="789" t="s">
        <v>1569</v>
      </c>
      <c r="AO1014" s="789"/>
      <c r="AP1014" s="789"/>
      <c r="AQ1014" s="789"/>
      <c r="AR1014" s="1210">
        <f>IF(AR994=0,0,AR995/AR994)</f>
        <v>0.7463768115942029</v>
      </c>
      <c r="AS1014" s="1210">
        <f>IF(AS994=0,0,AS995/AS994)</f>
        <v>0.9299781181619255</v>
      </c>
      <c r="AT1014" s="377">
        <f>AR1014-AS1014</f>
        <v>-0.18360130656772267</v>
      </c>
      <c r="AU1014" s="95">
        <f>IF(AND(AS1014=0,AR1014=0),0,IF(AS1014&lt;&gt;0,AT1014/ABS(AS1014),IF(AS1014=0,AT1014/ABS(AR1014),FLASE)))</f>
        <v>-0.1974254049445865</v>
      </c>
      <c r="AW1014" s="376">
        <f>AS1012*AS1013*AS1014*AR1015*AR1016*AR1017*AR1018</f>
        <v>0.009272903201325556</v>
      </c>
      <c r="AX1014" s="376">
        <f>AW1013-AW1014</f>
        <v>-0.0018307066695336495</v>
      </c>
    </row>
    <row r="1015" spans="39:50" ht="21" customHeight="1">
      <c r="AM1015" s="794">
        <v>25</v>
      </c>
      <c r="AN1015" s="789" t="s">
        <v>1570</v>
      </c>
      <c r="AO1015" s="789"/>
      <c r="AP1015" s="789"/>
      <c r="AQ1015" s="789"/>
      <c r="AR1015" s="1210">
        <f>IF(AR993=0,0,AR994/AR993)</f>
        <v>0.5679012345679012</v>
      </c>
      <c r="AS1015" s="1210">
        <f>IF(AS993=0,0,AS994/AS993)</f>
        <v>0.6851574212893553</v>
      </c>
      <c r="AT1015" s="377">
        <f t="shared" si="42"/>
        <v>-0.1172561867214541</v>
      </c>
      <c r="AU1015" s="95">
        <f t="shared" si="43"/>
        <v>-0.17113758543371968</v>
      </c>
      <c r="AW1015" s="376">
        <f>AS1012*AS1013*AS1014*AS1015*AR1016*AR1017*AR1018</f>
        <v>0.011187505958003656</v>
      </c>
      <c r="AX1015" s="376">
        <f>AW1014-AW1015</f>
        <v>-0.0019146027566781</v>
      </c>
    </row>
    <row r="1016" spans="39:50" ht="21" customHeight="1">
      <c r="AM1016" s="788">
        <v>26</v>
      </c>
      <c r="AN1016" s="789" t="s">
        <v>1571</v>
      </c>
      <c r="AO1016" s="789"/>
      <c r="AP1016" s="789"/>
      <c r="AQ1016" s="789"/>
      <c r="AR1016" s="970">
        <f>AR993/AR998</f>
        <v>0.03633373205741627</v>
      </c>
      <c r="AS1016" s="970">
        <f>AS993/AS998</f>
        <v>0.08883857218966436</v>
      </c>
      <c r="AT1016" s="378">
        <f t="shared" si="42"/>
        <v>-0.05250484013224809</v>
      </c>
      <c r="AU1016" s="95">
        <f t="shared" si="43"/>
        <v>-0.591014002568094</v>
      </c>
      <c r="AW1016" s="376">
        <f>AS1012*AS1013*AS1014*AS1015*AS1016*AR1017*AR1018</f>
        <v>0.027354251803856235</v>
      </c>
      <c r="AX1016" s="376">
        <f>AW1015-AW1016</f>
        <v>-0.01616674584585258</v>
      </c>
    </row>
    <row r="1017" spans="39:50" ht="21" customHeight="1">
      <c r="AM1017" s="794">
        <v>27</v>
      </c>
      <c r="AN1017" s="789" t="s">
        <v>1572</v>
      </c>
      <c r="AO1017" s="789"/>
      <c r="AP1017" s="789"/>
      <c r="AQ1017" s="789"/>
      <c r="AR1017" s="967">
        <f>AR998/AR1003</f>
        <v>0.3112290008841733</v>
      </c>
      <c r="AS1017" s="967">
        <f>AS998/AS1003</f>
        <v>0.3886731894186468</v>
      </c>
      <c r="AT1017" s="377">
        <f t="shared" si="42"/>
        <v>-0.07744418853447349</v>
      </c>
      <c r="AU1017" s="95">
        <f t="shared" si="43"/>
        <v>-0.19925271575924672</v>
      </c>
      <c r="AW1017" s="376">
        <f>AS1012*AS1013*AS1014*AS1015*AS1016*AS1017*AR1018</f>
        <v>0.03416090487249393</v>
      </c>
      <c r="AX1017" s="376">
        <f>AW1016-AW1017</f>
        <v>-0.0068066530686376955</v>
      </c>
    </row>
    <row r="1018" spans="39:50" ht="21" customHeight="1">
      <c r="AM1018" s="788">
        <v>28</v>
      </c>
      <c r="AN1018" s="971" t="s">
        <v>1573</v>
      </c>
      <c r="AO1018" s="789"/>
      <c r="AP1018" s="789"/>
      <c r="AQ1018" s="789"/>
      <c r="AR1018" s="967">
        <f>AR1003/AR1004</f>
        <v>1.5526734104046243</v>
      </c>
      <c r="AS1018" s="967">
        <f>AS1003/AS1004</f>
        <v>1.4046684118673647</v>
      </c>
      <c r="AT1018" s="377">
        <f t="shared" si="42"/>
        <v>0.14800499853725957</v>
      </c>
      <c r="AU1018" s="95">
        <f t="shared" si="43"/>
        <v>0.10536650307420374</v>
      </c>
      <c r="AW1018" s="376"/>
      <c r="AX1018" s="376">
        <f>AW1017-AS1011</f>
        <v>0.003256309177322319</v>
      </c>
    </row>
    <row r="1019" spans="39:47" ht="21" customHeight="1" thickBot="1">
      <c r="AM1019" s="972">
        <v>29</v>
      </c>
      <c r="AN1019" s="814" t="s">
        <v>1574</v>
      </c>
      <c r="AO1019" s="814"/>
      <c r="AP1019" s="814"/>
      <c r="AQ1019" s="814"/>
      <c r="AR1019" s="973">
        <f>AR1015*AR1018</f>
        <v>0.8817651466495396</v>
      </c>
      <c r="AS1019" s="973">
        <f>AS1015*AS1018</f>
        <v>0.9624189868416576</v>
      </c>
      <c r="AT1019" s="381">
        <f t="shared" si="42"/>
        <v>-0.08065384019211796</v>
      </c>
      <c r="AU1019" s="382">
        <f t="shared" si="43"/>
        <v>-0.08380325128122973</v>
      </c>
    </row>
    <row r="1020" spans="39:47" ht="9.75" customHeight="1">
      <c r="AM1020" s="608"/>
      <c r="AN1020" s="608"/>
      <c r="AO1020" s="608"/>
      <c r="AP1020" s="608"/>
      <c r="AQ1020" s="608"/>
      <c r="AR1020" s="608"/>
      <c r="AS1020" s="608"/>
      <c r="AT1020" s="608"/>
      <c r="AU1020" s="608"/>
    </row>
    <row r="1021" spans="39:47" ht="18.75" customHeight="1">
      <c r="AM1021" s="871"/>
      <c r="AN1021" s="871" t="s">
        <v>893</v>
      </c>
      <c r="AO1021" s="871"/>
      <c r="AP1021" s="871"/>
      <c r="AQ1021" s="871"/>
      <c r="AR1021" s="871"/>
      <c r="AS1021" s="871"/>
      <c r="AT1021" s="871"/>
      <c r="AU1021" s="871"/>
    </row>
    <row r="1022" spans="39:47" ht="18.75" customHeight="1">
      <c r="AM1022" s="871" t="s">
        <v>332</v>
      </c>
      <c r="AN1022" s="224">
        <f>+AR990</f>
        <v>6945</v>
      </c>
      <c r="AO1022" s="214" t="s">
        <v>1135</v>
      </c>
      <c r="AP1022" s="214"/>
      <c r="AQ1022" s="214" t="str">
        <f>IF(AT990&gt;=0,"повече","по-малко")</f>
        <v>по-малко</v>
      </c>
      <c r="AR1022" s="214" t="s">
        <v>995</v>
      </c>
      <c r="AS1022" s="214"/>
      <c r="AT1022" s="214"/>
      <c r="AU1022" s="214"/>
    </row>
    <row r="1023" spans="39:47" ht="18.75" customHeight="1">
      <c r="AM1023" s="871" t="s">
        <v>942</v>
      </c>
      <c r="AN1023" s="224">
        <f>ABS(AT990)</f>
        <v>886</v>
      </c>
      <c r="AO1023" s="871" t="s">
        <v>996</v>
      </c>
      <c r="AP1023" s="974">
        <f>ABS(AU990)</f>
        <v>0.11314008428042395</v>
      </c>
      <c r="AQ1023" s="871"/>
      <c r="AR1023" s="871"/>
      <c r="AS1023" s="871"/>
      <c r="AT1023" s="871"/>
      <c r="AU1023" s="871"/>
    </row>
    <row r="1024" spans="39:47" ht="18.75" customHeight="1">
      <c r="AM1024" s="871"/>
      <c r="AN1024" s="871" t="s">
        <v>894</v>
      </c>
      <c r="AO1024" s="871"/>
      <c r="AP1024" s="871"/>
      <c r="AQ1024" s="871"/>
      <c r="AR1024" s="871"/>
      <c r="AS1024" s="871"/>
      <c r="AT1024" s="871"/>
      <c r="AU1024" s="224">
        <f>+AR991</f>
        <v>6807</v>
      </c>
    </row>
    <row r="1025" spans="39:47" ht="18.75" customHeight="1">
      <c r="AM1025" s="871" t="s">
        <v>178</v>
      </c>
      <c r="AN1025" s="871"/>
      <c r="AO1025" s="224">
        <f>ABS(AT991)</f>
        <v>567</v>
      </c>
      <c r="AP1025" s="224" t="s">
        <v>179</v>
      </c>
      <c r="AQ1025" s="214" t="str">
        <f>IF(AT991&gt;=0,"повече","по-малко")</f>
        <v>по-малко</v>
      </c>
      <c r="AR1025" s="871" t="s">
        <v>180</v>
      </c>
      <c r="AS1025" s="871"/>
      <c r="AT1025" s="871"/>
      <c r="AU1025" s="871"/>
    </row>
    <row r="1026" spans="39:47" ht="18.75" customHeight="1">
      <c r="AM1026" s="871" t="s">
        <v>181</v>
      </c>
      <c r="AN1026" s="871"/>
      <c r="AO1026" s="974">
        <f>ABS(AU991)</f>
        <v>0.07689178193653377</v>
      </c>
      <c r="AP1026" s="871"/>
      <c r="AQ1026" s="871"/>
      <c r="AR1026" s="871"/>
      <c r="AS1026" s="871"/>
      <c r="AT1026" s="871"/>
      <c r="AU1026" s="871"/>
    </row>
    <row r="1027" spans="39:47" ht="18.75" customHeight="1">
      <c r="AM1027" s="871"/>
      <c r="AN1027" s="871" t="s">
        <v>896</v>
      </c>
      <c r="AO1027" s="871"/>
      <c r="AP1027" s="871"/>
      <c r="AQ1027" s="871"/>
      <c r="AR1027" s="871"/>
      <c r="AS1027" s="871"/>
      <c r="AT1027" s="871"/>
      <c r="AU1027" s="871"/>
    </row>
    <row r="1028" spans="39:47" ht="18.75" customHeight="1">
      <c r="AM1028" s="871" t="s">
        <v>895</v>
      </c>
      <c r="AN1028" s="871"/>
      <c r="AO1028" s="871"/>
      <c r="AP1028" s="871"/>
      <c r="AQ1028" s="871"/>
      <c r="AR1028" s="871"/>
      <c r="AS1028" s="224">
        <f>+AR992</f>
        <v>138</v>
      </c>
      <c r="AT1028" s="214" t="s">
        <v>182</v>
      </c>
      <c r="AU1028" s="214"/>
    </row>
    <row r="1029" spans="39:47" ht="18.75" customHeight="1">
      <c r="AM1029" s="871" t="s">
        <v>183</v>
      </c>
      <c r="AN1029" s="224">
        <f>ABS(AT992)</f>
        <v>319</v>
      </c>
      <c r="AO1029" s="871" t="s">
        <v>82</v>
      </c>
      <c r="AP1029" s="214" t="str">
        <f>IF(AT992&gt;=0,"повече","по-малко")</f>
        <v>по-малко</v>
      </c>
      <c r="AQ1029" s="871" t="s">
        <v>184</v>
      </c>
      <c r="AR1029" s="871"/>
      <c r="AS1029" s="871"/>
      <c r="AT1029" s="974">
        <f>ABS(AU992)</f>
        <v>0.6980306345733042</v>
      </c>
      <c r="AU1029" s="871"/>
    </row>
    <row r="1030" spans="39:47" ht="18.75" customHeight="1">
      <c r="AM1030" s="871"/>
      <c r="AN1030" s="871" t="s">
        <v>1297</v>
      </c>
      <c r="AO1030" s="871"/>
      <c r="AP1030" s="871"/>
      <c r="AQ1030" s="871"/>
      <c r="AR1030" s="871"/>
      <c r="AS1030" s="871"/>
      <c r="AT1030" s="871"/>
      <c r="AU1030" s="871"/>
    </row>
    <row r="1031" spans="39:47" ht="18.75" customHeight="1">
      <c r="AM1031" s="871" t="s">
        <v>2045</v>
      </c>
      <c r="AN1031" s="871"/>
      <c r="AO1031" s="224">
        <f>+AR994</f>
        <v>138</v>
      </c>
      <c r="AP1031" s="871" t="s">
        <v>1575</v>
      </c>
      <c r="AQ1031" s="871"/>
      <c r="AR1031" s="224">
        <f>ABS(AR994-AR992)</f>
        <v>0</v>
      </c>
      <c r="AS1031" s="224" t="s">
        <v>2285</v>
      </c>
      <c r="AT1031" s="214" t="str">
        <f>IF(AR994&gt;=AR992,"повече","по-малко")</f>
        <v>повече</v>
      </c>
      <c r="AU1031" s="871" t="s">
        <v>1298</v>
      </c>
    </row>
    <row r="1032" spans="39:47" ht="18.75" customHeight="1">
      <c r="AM1032" s="871" t="s">
        <v>2010</v>
      </c>
      <c r="AN1032" s="871"/>
      <c r="AO1032" s="871"/>
      <c r="AP1032" s="871"/>
      <c r="AQ1032" s="871"/>
      <c r="AR1032" s="871"/>
      <c r="AS1032" s="224">
        <f>ABS(AT994)</f>
        <v>319</v>
      </c>
      <c r="AT1032" s="224" t="s">
        <v>2285</v>
      </c>
      <c r="AU1032" s="218" t="str">
        <f>IF(AT994&gt;0,"повече","по-малко")</f>
        <v>по-малко</v>
      </c>
    </row>
    <row r="1033" spans="39:47" ht="18.75" customHeight="1">
      <c r="AM1033" s="871" t="s">
        <v>2286</v>
      </c>
      <c r="AN1033" s="871"/>
      <c r="AO1033" s="871"/>
      <c r="AP1033" s="974">
        <f>ABS(AU994)</f>
        <v>0.6980306345733042</v>
      </c>
      <c r="AQ1033" s="871"/>
      <c r="AR1033" s="871"/>
      <c r="AS1033" s="871"/>
      <c r="AT1033" s="871"/>
      <c r="AU1033" s="871"/>
    </row>
    <row r="1034" spans="39:47" ht="18.75" customHeight="1">
      <c r="AM1034" s="871"/>
      <c r="AN1034" s="871" t="s">
        <v>2011</v>
      </c>
      <c r="AO1034" s="1513" t="str">
        <f>IF(AR994&gt;=AR992,"у в е л и ч е н и е","н а м а л я в а н е")</f>
        <v>у в е л и ч е н и е</v>
      </c>
      <c r="AP1034" s="1513"/>
      <c r="AQ1034" s="975" t="s">
        <v>2012</v>
      </c>
      <c r="AR1034" s="976"/>
      <c r="AS1034" s="871"/>
      <c r="AT1034" s="224" t="str">
        <f>IF(K250&gt;K212,"повече","по-малко")</f>
        <v>по-малко</v>
      </c>
      <c r="AU1034" s="224" t="s">
        <v>2013</v>
      </c>
    </row>
    <row r="1035" spans="39:47" ht="18.75" customHeight="1">
      <c r="AM1035" s="871" t="s">
        <v>2014</v>
      </c>
      <c r="AN1035" s="871"/>
      <c r="AO1035" s="871"/>
      <c r="AP1035" s="871"/>
      <c r="AQ1035" s="871"/>
      <c r="AR1035" s="871"/>
      <c r="AS1035" s="871"/>
      <c r="AT1035" s="871"/>
      <c r="AU1035" s="871"/>
    </row>
    <row r="1036" spans="39:47" ht="18.75" customHeight="1">
      <c r="AM1036" s="871"/>
      <c r="AN1036" s="871" t="s">
        <v>2287</v>
      </c>
      <c r="AO1036" s="871"/>
      <c r="AP1036" s="871"/>
      <c r="AQ1036" s="871"/>
      <c r="AR1036" s="871"/>
      <c r="AS1036" s="871"/>
      <c r="AT1036" s="871"/>
      <c r="AU1036" s="871"/>
    </row>
    <row r="1037" spans="39:47" ht="18.75" customHeight="1">
      <c r="AM1037" s="871" t="s">
        <v>1299</v>
      </c>
      <c r="AN1037" s="871"/>
      <c r="AO1037" s="224">
        <f>+AR995</f>
        <v>103</v>
      </c>
      <c r="AP1037" s="871" t="s">
        <v>1575</v>
      </c>
      <c r="AQ1037" s="871"/>
      <c r="AR1037" s="224">
        <f>ABS(AR995-AR994)</f>
        <v>35</v>
      </c>
      <c r="AS1037" s="224" t="s">
        <v>2288</v>
      </c>
      <c r="AT1037" s="214" t="str">
        <f>IF(AR995&gt;=AR994,"повече","по-малко")</f>
        <v>по-малко</v>
      </c>
      <c r="AU1037" s="871" t="s">
        <v>2289</v>
      </c>
    </row>
    <row r="1038" spans="39:47" ht="18.75" customHeight="1">
      <c r="AM1038" s="871" t="s">
        <v>2283</v>
      </c>
      <c r="AN1038" s="871"/>
      <c r="AO1038" s="871"/>
      <c r="AP1038" s="871"/>
      <c r="AQ1038" s="871"/>
      <c r="AR1038" s="871"/>
      <c r="AS1038" s="871"/>
      <c r="AT1038" s="224">
        <f>ABS(AT995)</f>
        <v>322</v>
      </c>
      <c r="AU1038" s="218" t="str">
        <f>IF(AT995&gt;=0,"повече","по-малко")</f>
        <v>по-малко</v>
      </c>
    </row>
    <row r="1039" spans="39:47" ht="18.75" customHeight="1">
      <c r="AM1039" s="871" t="s">
        <v>2290</v>
      </c>
      <c r="AN1039" s="871"/>
      <c r="AO1039" s="871"/>
      <c r="AP1039" s="974">
        <f>ABS(AU995)</f>
        <v>0.7576470588235295</v>
      </c>
      <c r="AQ1039" s="871"/>
      <c r="AR1039" s="871"/>
      <c r="AS1039" s="871"/>
      <c r="AT1039" s="871"/>
      <c r="AU1039" s="871"/>
    </row>
    <row r="1040" spans="39:47" ht="18.75" customHeight="1">
      <c r="AM1040" s="871"/>
      <c r="AN1040" s="871" t="s">
        <v>959</v>
      </c>
      <c r="AO1040" s="871"/>
      <c r="AP1040" s="871"/>
      <c r="AQ1040" s="871"/>
      <c r="AR1040" s="871"/>
      <c r="AS1040" s="871"/>
      <c r="AT1040" s="871"/>
      <c r="AU1040" s="871"/>
    </row>
    <row r="1041" spans="39:47" ht="18.75" customHeight="1">
      <c r="AM1041" s="871" t="s">
        <v>2007</v>
      </c>
      <c r="AN1041" s="871"/>
      <c r="AO1041" s="871"/>
      <c r="AP1041" s="871"/>
      <c r="AQ1041" s="871"/>
      <c r="AR1041" s="871"/>
      <c r="AS1041" s="871"/>
      <c r="AT1041" s="871"/>
      <c r="AU1041" s="871"/>
    </row>
    <row r="1042" spans="39:47" ht="18.75" customHeight="1">
      <c r="AM1042" s="871"/>
      <c r="AN1042" s="871"/>
      <c r="AO1042" s="977">
        <f>L215</f>
        <v>32</v>
      </c>
      <c r="AP1042" s="871" t="s">
        <v>2379</v>
      </c>
      <c r="AQ1042" s="871"/>
      <c r="AR1042" s="871"/>
      <c r="AS1042" s="871"/>
      <c r="AT1042" s="871"/>
      <c r="AU1042" s="871"/>
    </row>
    <row r="1043" spans="39:47" ht="18.75" customHeight="1">
      <c r="AM1043" s="871"/>
      <c r="AN1043" s="871"/>
      <c r="AO1043" s="977">
        <f>K215</f>
        <v>35</v>
      </c>
      <c r="AP1043" s="871" t="s">
        <v>2380</v>
      </c>
      <c r="AQ1043" s="871"/>
      <c r="AR1043" s="871"/>
      <c r="AS1043" s="871"/>
      <c r="AT1043" s="871"/>
      <c r="AU1043" s="871"/>
    </row>
    <row r="1044" spans="39:47" ht="18.75" customHeight="1">
      <c r="AM1044" s="871"/>
      <c r="AN1044" s="871" t="s">
        <v>462</v>
      </c>
      <c r="AO1044" s="871"/>
      <c r="AP1044" s="871"/>
      <c r="AQ1044" s="871"/>
      <c r="AR1044" s="871"/>
      <c r="AS1044" s="871"/>
      <c r="AT1044" s="871"/>
      <c r="AU1044" s="871"/>
    </row>
    <row r="1045" spans="39:47" ht="18.75" customHeight="1">
      <c r="AM1045" s="871" t="s">
        <v>463</v>
      </c>
      <c r="AN1045" s="871"/>
      <c r="AO1045" s="871"/>
      <c r="AP1045" s="871"/>
      <c r="AQ1045" s="871"/>
      <c r="AR1045" s="871"/>
      <c r="AS1045" s="871"/>
      <c r="AT1045" s="871"/>
      <c r="AU1045" s="871"/>
    </row>
    <row r="1046" spans="39:47" ht="18.75" customHeight="1">
      <c r="AM1046" s="871" t="s">
        <v>1120</v>
      </c>
      <c r="AN1046" s="871"/>
      <c r="AO1046" s="871"/>
      <c r="AP1046" s="871"/>
      <c r="AQ1046" s="871"/>
      <c r="AR1046" s="871"/>
      <c r="AS1046" s="871"/>
      <c r="AT1046" s="871"/>
      <c r="AU1046" s="871"/>
    </row>
    <row r="1047" spans="39:47" ht="18.75" customHeight="1">
      <c r="AM1047" s="871" t="s">
        <v>1634</v>
      </c>
      <c r="AN1047" s="871"/>
      <c r="AO1047" s="871"/>
      <c r="AP1047" s="871"/>
      <c r="AQ1047" s="871"/>
      <c r="AR1047" s="871"/>
      <c r="AS1047" s="871"/>
      <c r="AT1047" s="871"/>
      <c r="AU1047" s="871"/>
    </row>
    <row r="1048" spans="39:47" ht="18.75" customHeight="1">
      <c r="AM1048" s="871" t="s">
        <v>1121</v>
      </c>
      <c r="AN1048" s="871"/>
      <c r="AO1048" s="871"/>
      <c r="AP1048" s="871"/>
      <c r="AQ1048" s="871"/>
      <c r="AR1048" s="871"/>
      <c r="AS1048" s="871"/>
      <c r="AT1048" s="871"/>
      <c r="AU1048" s="871"/>
    </row>
    <row r="1049" spans="39:47" ht="18.75" customHeight="1">
      <c r="AM1049" s="871"/>
      <c r="AN1049" s="871" t="s">
        <v>820</v>
      </c>
      <c r="AO1049" s="871"/>
      <c r="AP1049" s="871"/>
      <c r="AQ1049" s="871"/>
      <c r="AR1049" s="871"/>
      <c r="AS1049" s="871"/>
      <c r="AT1049" s="871"/>
      <c r="AU1049" s="871"/>
    </row>
    <row r="1050" spans="39:47" ht="18.75" customHeight="1">
      <c r="AM1050" s="871" t="s">
        <v>2186</v>
      </c>
      <c r="AN1050" s="871"/>
      <c r="AO1050" s="871"/>
      <c r="AP1050" s="871"/>
      <c r="AQ1050" s="871"/>
      <c r="AR1050" s="978">
        <f>+$AR$999</f>
        <v>0.020273248126928163</v>
      </c>
      <c r="AS1050" s="979" t="s">
        <v>2187</v>
      </c>
      <c r="AT1050" s="871"/>
      <c r="AU1050" s="871"/>
    </row>
    <row r="1051" spans="39:47" ht="18.75" customHeight="1">
      <c r="AM1051" s="871" t="s">
        <v>743</v>
      </c>
      <c r="AN1051" s="871"/>
      <c r="AO1051" s="871"/>
      <c r="AP1051" s="871"/>
      <c r="AQ1051" s="871"/>
      <c r="AR1051" s="871"/>
      <c r="AS1051" s="871"/>
      <c r="AT1051" s="871"/>
      <c r="AU1051" s="871"/>
    </row>
    <row r="1052" spans="39:47" ht="18.75" customHeight="1">
      <c r="AM1052" s="871" t="s">
        <v>874</v>
      </c>
      <c r="AN1052" s="871"/>
      <c r="AO1052" s="871"/>
      <c r="AP1052" s="871" t="str">
        <f>$AM$513</f>
        <v>"В И Н З А В О Д"  А Д - гр. АСЕНОВГРАД</v>
      </c>
      <c r="AQ1052" s="871"/>
      <c r="AR1052" s="871"/>
      <c r="AS1052" s="871"/>
      <c r="AT1052" s="871"/>
      <c r="AU1052" s="871"/>
    </row>
    <row r="1053" spans="39:47" ht="18.75" customHeight="1">
      <c r="AM1053" s="871"/>
      <c r="AN1053" s="871" t="s">
        <v>744</v>
      </c>
      <c r="AO1053" s="871"/>
      <c r="AP1053" s="871"/>
      <c r="AQ1053" s="871"/>
      <c r="AR1053" s="871"/>
      <c r="AS1053" s="871"/>
      <c r="AT1053" s="871"/>
      <c r="AU1053" s="871"/>
    </row>
    <row r="1054" spans="39:47" ht="18.75" customHeight="1">
      <c r="AM1054" s="871" t="s">
        <v>745</v>
      </c>
      <c r="AN1054" s="871"/>
      <c r="AO1054" s="871"/>
      <c r="AP1054" s="871"/>
      <c r="AQ1054" s="871"/>
      <c r="AR1054" s="871"/>
      <c r="AS1054" s="871"/>
      <c r="AT1054" s="871"/>
      <c r="AU1054" s="871"/>
    </row>
    <row r="1055" spans="39:47" ht="18.75" customHeight="1">
      <c r="AM1055" s="871" t="s">
        <v>746</v>
      </c>
      <c r="AN1055" s="871"/>
      <c r="AO1055" s="871"/>
      <c r="AP1055" s="871"/>
      <c r="AQ1055" s="871"/>
      <c r="AR1055" s="871"/>
      <c r="AS1055" s="871"/>
      <c r="AT1055" s="871"/>
      <c r="AU1055" s="871"/>
    </row>
    <row r="1056" spans="39:47" ht="18.75" customHeight="1">
      <c r="AM1056" s="871" t="s">
        <v>747</v>
      </c>
      <c r="AN1056" s="871"/>
      <c r="AO1056" s="871"/>
      <c r="AP1056" s="871"/>
      <c r="AQ1056" s="871"/>
      <c r="AR1056" s="871"/>
      <c r="AS1056" s="871"/>
      <c r="AT1056" s="871"/>
      <c r="AU1056" s="871"/>
    </row>
    <row r="1057" spans="39:47" ht="18.75" customHeight="1">
      <c r="AM1057" s="871"/>
      <c r="AN1057" s="871" t="s">
        <v>748</v>
      </c>
      <c r="AO1057" s="871"/>
      <c r="AP1057" s="871"/>
      <c r="AQ1057" s="871"/>
      <c r="AR1057" s="871"/>
      <c r="AS1057" s="871"/>
      <c r="AT1057" s="871"/>
      <c r="AU1057" s="871"/>
    </row>
    <row r="1058" spans="39:47" ht="18.75" customHeight="1">
      <c r="AM1058" s="871" t="s">
        <v>749</v>
      </c>
      <c r="AN1058" s="871"/>
      <c r="AO1058" s="871"/>
      <c r="AP1058" s="871"/>
      <c r="AQ1058" s="871"/>
      <c r="AR1058" s="871"/>
      <c r="AS1058" s="871"/>
      <c r="AT1058" s="871"/>
      <c r="AU1058" s="871"/>
    </row>
    <row r="1059" spans="39:47" ht="18.75" customHeight="1">
      <c r="AM1059" s="871" t="s">
        <v>1454</v>
      </c>
      <c r="AN1059" s="871"/>
      <c r="AO1059" s="871"/>
      <c r="AP1059" s="871"/>
      <c r="AQ1059" s="871"/>
      <c r="AR1059" s="871"/>
      <c r="AS1059" s="871"/>
      <c r="AT1059" s="871"/>
      <c r="AU1059" s="871"/>
    </row>
    <row r="1060" spans="39:47" ht="9" customHeight="1">
      <c r="AM1060" s="871"/>
      <c r="AN1060" s="871"/>
      <c r="AO1060" s="871"/>
      <c r="AP1060" s="871"/>
      <c r="AQ1060" s="871"/>
      <c r="AR1060" s="871"/>
      <c r="AS1060" s="871"/>
      <c r="AT1060" s="871"/>
      <c r="AU1060" s="871"/>
    </row>
    <row r="1061" spans="39:47" ht="17.25" customHeight="1">
      <c r="AM1061" s="871"/>
      <c r="AN1061" s="871" t="s">
        <v>1552</v>
      </c>
      <c r="AO1061" s="871"/>
      <c r="AP1061" s="871"/>
      <c r="AQ1061" s="871"/>
      <c r="AR1061" s="871"/>
      <c r="AS1061" s="871"/>
      <c r="AT1061" s="871"/>
      <c r="AU1061" s="871"/>
    </row>
    <row r="1062" spans="39:47" ht="17.25" customHeight="1">
      <c r="AM1062" s="871" t="s">
        <v>1157</v>
      </c>
      <c r="AN1062" s="871"/>
      <c r="AO1062" s="871"/>
      <c r="AP1062" s="871"/>
      <c r="AQ1062" s="871"/>
      <c r="AR1062" s="871"/>
      <c r="AS1062" s="871"/>
      <c r="AT1062" s="871"/>
      <c r="AU1062" s="980">
        <f>+AR1001</f>
        <v>0.02063397129186603</v>
      </c>
    </row>
    <row r="1063" spans="39:47" ht="17.25" customHeight="1">
      <c r="AM1063" s="871" t="s">
        <v>1158</v>
      </c>
      <c r="AN1063" s="978">
        <f>+AS1001</f>
        <v>0.06086840703249867</v>
      </c>
      <c r="AO1063" s="871" t="s">
        <v>1159</v>
      </c>
      <c r="AP1063" s="871"/>
      <c r="AQ1063" s="871"/>
      <c r="AR1063" s="981">
        <f>ABS(AU1001)</f>
        <v>0.6610068786447918</v>
      </c>
      <c r="AS1063" s="214" t="str">
        <f>IF(AT1001&gt;=0,"повече","по-малко")</f>
        <v>по-малко</v>
      </c>
      <c r="AT1063" s="871"/>
      <c r="AU1063" s="871"/>
    </row>
    <row r="1064" spans="39:47" ht="17.25" customHeight="1">
      <c r="AM1064" s="871"/>
      <c r="AN1064" s="871" t="s">
        <v>1552</v>
      </c>
      <c r="AO1064" s="871"/>
      <c r="AP1064" s="871"/>
      <c r="AQ1064" s="871"/>
      <c r="AR1064" s="871"/>
      <c r="AS1064" s="871"/>
      <c r="AT1064" s="871"/>
      <c r="AU1064" s="871"/>
    </row>
    <row r="1065" spans="39:47" ht="17.25" customHeight="1">
      <c r="AM1065" s="871" t="s">
        <v>246</v>
      </c>
      <c r="AN1065" s="871"/>
      <c r="AO1065" s="871"/>
      <c r="AP1065" s="871"/>
      <c r="AQ1065" s="871"/>
      <c r="AR1065" s="871"/>
      <c r="AS1065" s="871"/>
      <c r="AT1065" s="871"/>
      <c r="AU1065" s="871"/>
    </row>
    <row r="1066" spans="39:47" ht="17.25" customHeight="1">
      <c r="AM1066" s="982" t="s">
        <v>1300</v>
      </c>
      <c r="AN1066" s="871"/>
      <c r="AO1066" s="871"/>
      <c r="AP1066" s="978">
        <f>+$AR$1002</f>
        <v>0.015400717703349283</v>
      </c>
      <c r="AQ1066" s="224" t="s">
        <v>1158</v>
      </c>
      <c r="AR1066" s="978">
        <f>+$AS$1002</f>
        <v>0.05660628662759723</v>
      </c>
      <c r="AS1066" s="871" t="s">
        <v>247</v>
      </c>
      <c r="AT1066" s="871"/>
      <c r="AU1066" s="871"/>
    </row>
    <row r="1067" spans="39:47" ht="17.25" customHeight="1">
      <c r="AM1067" s="983">
        <f>ABS($AU$1002)</f>
        <v>0.7279327329017732</v>
      </c>
      <c r="AN1067" s="214"/>
      <c r="AO1067" s="214" t="str">
        <f>IF($AT$1002&gt;=0,"повече.","по-малко.")</f>
        <v>по-малко.</v>
      </c>
      <c r="AP1067" s="871" t="s">
        <v>17</v>
      </c>
      <c r="AQ1067" s="871"/>
      <c r="AR1067" s="871"/>
      <c r="AS1067" s="871"/>
      <c r="AT1067" s="871"/>
      <c r="AU1067" s="871"/>
    </row>
    <row r="1068" spans="39:47" ht="17.25" customHeight="1">
      <c r="AM1068" s="871" t="s">
        <v>543</v>
      </c>
      <c r="AN1068" s="871"/>
      <c r="AO1068" s="871"/>
      <c r="AP1068" s="871"/>
      <c r="AQ1068" s="871"/>
      <c r="AR1068" s="871"/>
      <c r="AS1068" s="871"/>
      <c r="AT1068" s="871"/>
      <c r="AU1068" s="871"/>
    </row>
    <row r="1069" spans="39:47" ht="17.25" customHeight="1">
      <c r="AM1069" s="871" t="s">
        <v>1137</v>
      </c>
      <c r="AN1069" s="871"/>
      <c r="AO1069" s="871"/>
      <c r="AP1069" s="871"/>
      <c r="AQ1069" s="871"/>
      <c r="AR1069" s="871"/>
      <c r="AS1069" s="871"/>
      <c r="AT1069" s="871"/>
      <c r="AU1069" s="871"/>
    </row>
    <row r="1070" spans="39:47" ht="17.25" customHeight="1">
      <c r="AM1070" s="871" t="s">
        <v>18</v>
      </c>
      <c r="AN1070" s="871"/>
      <c r="AO1070" s="871"/>
      <c r="AP1070" s="871"/>
      <c r="AQ1070" s="871"/>
      <c r="AR1070" s="871"/>
      <c r="AS1070" s="871"/>
      <c r="AT1070" s="871"/>
      <c r="AU1070" s="871"/>
    </row>
    <row r="1071" spans="39:47" ht="17.25" customHeight="1">
      <c r="AM1071" s="871" t="s">
        <v>19</v>
      </c>
      <c r="AN1071" s="871"/>
      <c r="AO1071" s="871"/>
      <c r="AP1071" s="871"/>
      <c r="AQ1071" s="871"/>
      <c r="AR1071" s="871"/>
      <c r="AS1071" s="871"/>
      <c r="AT1071" s="871"/>
      <c r="AU1071" s="871"/>
    </row>
    <row r="1072" spans="39:47" ht="17.25" customHeight="1">
      <c r="AM1072" s="871"/>
      <c r="AN1072" s="871" t="s">
        <v>20</v>
      </c>
      <c r="AO1072" s="871"/>
      <c r="AP1072" s="871"/>
      <c r="AQ1072" s="871"/>
      <c r="AR1072" s="871"/>
      <c r="AS1072" s="871"/>
      <c r="AT1072" s="871"/>
      <c r="AU1072" s="871"/>
    </row>
    <row r="1073" spans="39:47" ht="17.25" customHeight="1">
      <c r="AM1073" s="871" t="s">
        <v>74</v>
      </c>
      <c r="AN1073" s="871"/>
      <c r="AO1073" s="871"/>
      <c r="AP1073" s="871"/>
      <c r="AQ1073" s="978">
        <f>+$AR$1006</f>
        <v>0.0047931499837125975</v>
      </c>
      <c r="AR1073" s="224" t="s">
        <v>75</v>
      </c>
      <c r="AS1073" s="978">
        <f>+$AS$1006</f>
        <v>0.02200134596469431</v>
      </c>
      <c r="AT1073" s="214" t="s">
        <v>2429</v>
      </c>
      <c r="AU1073" s="214"/>
    </row>
    <row r="1074" spans="39:47" ht="17.25" customHeight="1">
      <c r="AM1074" s="871" t="s">
        <v>2430</v>
      </c>
      <c r="AN1074" s="871"/>
      <c r="AO1074" s="871"/>
      <c r="AP1074" s="871"/>
      <c r="AQ1074" s="871"/>
      <c r="AR1074" s="871"/>
      <c r="AS1074" s="871"/>
      <c r="AT1074" s="871"/>
      <c r="AU1074" s="871"/>
    </row>
    <row r="1075" spans="39:47" ht="17.25" customHeight="1">
      <c r="AM1075" s="871" t="s">
        <v>2431</v>
      </c>
      <c r="AN1075" s="871"/>
      <c r="AO1075" s="871"/>
      <c r="AP1075" s="871"/>
      <c r="AQ1075" s="871"/>
      <c r="AR1075" s="871"/>
      <c r="AS1075" s="871"/>
      <c r="AT1075" s="871"/>
      <c r="AU1075" s="871"/>
    </row>
    <row r="1076" spans="39:47" ht="17.25" customHeight="1">
      <c r="AM1076" s="871" t="s">
        <v>2021</v>
      </c>
      <c r="AN1076" s="871"/>
      <c r="AO1076" s="871"/>
      <c r="AP1076" s="871"/>
      <c r="AQ1076" s="871"/>
      <c r="AR1076" s="871"/>
      <c r="AS1076" s="871"/>
      <c r="AT1076" s="871"/>
      <c r="AU1076" s="871"/>
    </row>
    <row r="1077" spans="39:47" ht="17.25" customHeight="1">
      <c r="AM1077" s="871" t="s">
        <v>2043</v>
      </c>
      <c r="AN1077" s="871"/>
      <c r="AO1077" s="871"/>
      <c r="AP1077" s="871"/>
      <c r="AQ1077" s="871"/>
      <c r="AR1077" s="871"/>
      <c r="AS1077" s="871"/>
      <c r="AT1077" s="871"/>
      <c r="AU1077" s="871"/>
    </row>
    <row r="1078" spans="39:47" ht="17.25" customHeight="1">
      <c r="AM1078" s="871" t="s">
        <v>2044</v>
      </c>
      <c r="AN1078" s="871"/>
      <c r="AO1078" s="871"/>
      <c r="AP1078" s="871"/>
      <c r="AQ1078" s="871"/>
      <c r="AR1078" s="871"/>
      <c r="AS1078" s="871"/>
      <c r="AT1078" s="871"/>
      <c r="AU1078" s="871"/>
    </row>
    <row r="1079" spans="39:47" ht="17.25" customHeight="1">
      <c r="AM1079" s="871"/>
      <c r="AN1079" s="871" t="s">
        <v>480</v>
      </c>
      <c r="AO1079" s="871"/>
      <c r="AP1079" s="871"/>
      <c r="AQ1079" s="871"/>
      <c r="AR1079" s="871"/>
      <c r="AS1079" s="871"/>
      <c r="AT1079" s="871"/>
      <c r="AU1079" s="871"/>
    </row>
    <row r="1080" spans="39:47" ht="17.25" customHeight="1">
      <c r="AM1080" s="871" t="s">
        <v>539</v>
      </c>
      <c r="AN1080" s="871"/>
      <c r="AO1080" s="871"/>
      <c r="AP1080" s="871"/>
      <c r="AQ1080" s="871"/>
      <c r="AR1080" s="871"/>
      <c r="AS1080" s="871"/>
      <c r="AT1080" s="871"/>
      <c r="AU1080" s="871"/>
    </row>
    <row r="1081" spans="39:47" ht="17.25" customHeight="1">
      <c r="AM1081" s="871" t="s">
        <v>540</v>
      </c>
      <c r="AN1081" s="871"/>
      <c r="AO1081" s="871"/>
      <c r="AP1081" s="871"/>
      <c r="AQ1081" s="871"/>
      <c r="AR1081" s="871"/>
      <c r="AS1081" s="871"/>
      <c r="AT1081" s="871"/>
      <c r="AU1081" s="871"/>
    </row>
    <row r="1082" spans="39:47" ht="17.25" customHeight="1">
      <c r="AM1082" s="871"/>
      <c r="AN1082" s="871" t="s">
        <v>541</v>
      </c>
      <c r="AO1082" s="984"/>
      <c r="AP1082" s="608"/>
      <c r="AQ1082" s="608"/>
      <c r="AR1082" s="608"/>
      <c r="AS1082" s="608"/>
      <c r="AT1082" s="985"/>
      <c r="AU1082" s="908">
        <f>$AR$1011</f>
        <v>0.007442196531791907</v>
      </c>
    </row>
    <row r="1083" spans="39:47" ht="17.25" customHeight="1">
      <c r="AM1083" s="608" t="s">
        <v>1158</v>
      </c>
      <c r="AN1083" s="908">
        <f>$AS$1011</f>
        <v>0.03090459569517161</v>
      </c>
      <c r="AO1083" s="871" t="s">
        <v>140</v>
      </c>
      <c r="AP1083" s="608"/>
      <c r="AQ1083" s="608"/>
      <c r="AR1083" s="608"/>
      <c r="AS1083" s="608"/>
      <c r="AT1083" s="909"/>
      <c r="AU1083" s="608"/>
    </row>
    <row r="1084" spans="39:47" ht="17.25" customHeight="1">
      <c r="AM1084" s="608"/>
      <c r="AN1084" s="608" t="s">
        <v>368</v>
      </c>
      <c r="AO1084" s="608"/>
      <c r="AP1084" s="608"/>
      <c r="AQ1084" s="608"/>
      <c r="AR1084" s="608"/>
      <c r="AS1084" s="608"/>
      <c r="AT1084" s="608"/>
      <c r="AU1084" s="608"/>
    </row>
    <row r="1085" spans="39:47" ht="17.25" customHeight="1">
      <c r="AM1085" s="986" t="s">
        <v>367</v>
      </c>
      <c r="AN1085" s="608"/>
      <c r="AO1085" s="984"/>
      <c r="AP1085" s="608"/>
      <c r="AQ1085" s="608"/>
      <c r="AR1085" s="608"/>
      <c r="AS1085" s="984">
        <f>$AR$1011</f>
        <v>0.007442196531791907</v>
      </c>
      <c r="AT1085" s="985" t="s">
        <v>1347</v>
      </c>
      <c r="AU1085" s="985"/>
    </row>
    <row r="1086" spans="39:47" ht="17.25" customHeight="1">
      <c r="AM1086" s="608" t="s">
        <v>366</v>
      </c>
      <c r="AN1086" s="608"/>
      <c r="AO1086" s="818"/>
      <c r="AP1086" s="608"/>
      <c r="AQ1086" s="1510" t="str">
        <f>IF($AT$1011&gt;=0,"п о д о б р е н    с","в л о ш е н     с")</f>
        <v>в л о ш е н     с</v>
      </c>
      <c r="AR1086" s="1510"/>
      <c r="AS1086" s="984">
        <f>ABS($AT$1011)</f>
        <v>0.023462399163379704</v>
      </c>
      <c r="AT1086" s="909" t="s">
        <v>2235</v>
      </c>
      <c r="AU1086" s="987">
        <f>ABS($AU$1011)</f>
        <v>0.759188031281877</v>
      </c>
    </row>
    <row r="1087" spans="39:47" ht="17.25" customHeight="1">
      <c r="AM1087" s="608" t="s">
        <v>365</v>
      </c>
      <c r="AN1087" s="818"/>
      <c r="AO1087" s="818"/>
      <c r="AP1087" s="984"/>
      <c r="AQ1087" s="608"/>
      <c r="AR1087" s="608"/>
      <c r="AS1087" s="608"/>
      <c r="AT1087" s="988"/>
      <c r="AU1087" s="608"/>
    </row>
    <row r="1088" spans="39:47" ht="17.25" customHeight="1">
      <c r="AM1088" s="608"/>
      <c r="AN1088" s="608"/>
      <c r="AO1088" s="608"/>
      <c r="AP1088" s="608"/>
      <c r="AQ1088" s="608"/>
      <c r="AR1088" s="608"/>
      <c r="AS1088" s="608"/>
      <c r="AT1088" s="989" t="s">
        <v>1348</v>
      </c>
      <c r="AU1088" s="990" t="s">
        <v>1615</v>
      </c>
    </row>
    <row r="1089" spans="39:49" ht="17.25" customHeight="1">
      <c r="AM1089" s="644">
        <v>1</v>
      </c>
      <c r="AN1089" s="228" t="str">
        <f>IF($AT$1089&gt;=0,"Увеличение          на","Намаление           на")</f>
        <v>Намаление           на</v>
      </c>
      <c r="AO1089" s="608"/>
      <c r="AP1089" s="1506" t="s">
        <v>364</v>
      </c>
      <c r="AQ1089" s="1506"/>
      <c r="AR1089" s="1506"/>
      <c r="AS1089" s="1506"/>
      <c r="AT1089" s="991">
        <f>$AX$1016</f>
        <v>-0.01616674584585258</v>
      </c>
      <c r="AU1089" s="992">
        <f>$AT$1089/$AS$1011</f>
        <v>-0.5231178561697992</v>
      </c>
      <c r="AW1089" s="29" t="s">
        <v>363</v>
      </c>
    </row>
    <row r="1090" spans="39:49" ht="17.25" customHeight="1">
      <c r="AM1090" s="644">
        <v>2</v>
      </c>
      <c r="AN1090" s="228" t="str">
        <f>IF($AT$1090&gt;=0,"Подобряване       на","Влошаване           на")</f>
        <v>Влошаване           на</v>
      </c>
      <c r="AO1090" s="608"/>
      <c r="AP1090" s="1505" t="s">
        <v>362</v>
      </c>
      <c r="AQ1090" s="1505"/>
      <c r="AR1090" s="1505"/>
      <c r="AS1090" s="1505"/>
      <c r="AT1090" s="991">
        <f>$AX$1017</f>
        <v>-0.0068066530686376955</v>
      </c>
      <c r="AU1090" s="992">
        <f>$AT$1090/$AS$1011</f>
        <v>-0.2202472776468367</v>
      </c>
      <c r="AW1090" s="29" t="s">
        <v>360</v>
      </c>
    </row>
    <row r="1091" spans="39:49" ht="17.25" customHeight="1">
      <c r="AM1091" s="644">
        <v>3</v>
      </c>
      <c r="AN1091" s="228" t="str">
        <f>IF($AT$1091&gt;=0,"Подобряване       на","Влошаване       на")</f>
        <v>Влошаване       на</v>
      </c>
      <c r="AO1091" s="608"/>
      <c r="AP1091" s="1505" t="s">
        <v>361</v>
      </c>
      <c r="AQ1091" s="1505"/>
      <c r="AR1091" s="1505"/>
      <c r="AS1091" s="1505"/>
      <c r="AT1091" s="991">
        <f>$AX$1014</f>
        <v>-0.0018307066695336495</v>
      </c>
      <c r="AU1091" s="992">
        <f>$AT$1091/$AS$1011</f>
        <v>-0.05923736028100411</v>
      </c>
      <c r="AW1091" s="29" t="s">
        <v>360</v>
      </c>
    </row>
    <row r="1092" spans="39:49" ht="17.25" customHeight="1">
      <c r="AM1092" s="644">
        <v>4</v>
      </c>
      <c r="AN1092" s="228" t="str">
        <f>IF($AT$1092&gt;=0,"Увеличение          от","Намаление           от")</f>
        <v>Намаление           от</v>
      </c>
      <c r="AO1092" s="608"/>
      <c r="AP1092" s="1505" t="s">
        <v>359</v>
      </c>
      <c r="AQ1092" s="1505"/>
      <c r="AR1092" s="1505"/>
      <c r="AS1092" s="1505"/>
      <c r="AT1092" s="991">
        <f>$AX$1015</f>
        <v>-0.0019146027566781</v>
      </c>
      <c r="AU1092" s="992">
        <f>$AT$1092/$AS$1011</f>
        <v>-0.06195204025844055</v>
      </c>
      <c r="AW1092" s="29" t="s">
        <v>349</v>
      </c>
    </row>
    <row r="1093" spans="39:49" ht="17.25" customHeight="1">
      <c r="AM1093" s="644">
        <v>5</v>
      </c>
      <c r="AN1093" s="228" t="str">
        <f>IF($AT$1093&gt;=0,"Увеличение          от","Намаление           от")</f>
        <v>Увеличение          от</v>
      </c>
      <c r="AO1093" s="608"/>
      <c r="AP1093" s="1505" t="s">
        <v>350</v>
      </c>
      <c r="AQ1093" s="1505"/>
      <c r="AR1093" s="1505"/>
      <c r="AS1093" s="1505"/>
      <c r="AT1093" s="991">
        <f>$AX$1018</f>
        <v>0.003256309177322319</v>
      </c>
      <c r="AU1093" s="992">
        <f>$AT$1093/$AS$1011</f>
        <v>0.1053665030742036</v>
      </c>
      <c r="AW1093" s="29" t="s">
        <v>349</v>
      </c>
    </row>
    <row r="1094" spans="39:49" ht="17.25" customHeight="1">
      <c r="AM1094" s="644">
        <v>6</v>
      </c>
      <c r="AN1094" s="228" t="str">
        <f>IF($AT$1094&gt;=0,"Увеличение          от","Намаление           от")</f>
        <v>Увеличение          от</v>
      </c>
      <c r="AO1094" s="608"/>
      <c r="AP1094" s="1505" t="s">
        <v>348</v>
      </c>
      <c r="AQ1094" s="1505"/>
      <c r="AR1094" s="1505"/>
      <c r="AS1094" s="1505"/>
      <c r="AT1094" s="991">
        <f>$AX$1013</f>
        <v>0</v>
      </c>
      <c r="AU1094" s="992">
        <f>$AT$1094/$AS$1011</f>
        <v>0</v>
      </c>
      <c r="AW1094" s="29"/>
    </row>
    <row r="1095" spans="39:49" ht="17.25" customHeight="1">
      <c r="AM1095" s="644">
        <v>7</v>
      </c>
      <c r="AN1095" s="228" t="str">
        <f>IF($AT$1095&gt;=0,"Увеличение          от","Намаление           от")</f>
        <v>Увеличение          от</v>
      </c>
      <c r="AO1095" s="608"/>
      <c r="AP1095" s="1462" t="s">
        <v>347</v>
      </c>
      <c r="AQ1095" s="1462"/>
      <c r="AR1095" s="1462"/>
      <c r="AS1095" s="1462"/>
      <c r="AT1095" s="993">
        <f>$AX$1012</f>
        <v>0</v>
      </c>
      <c r="AU1095" s="994">
        <f>$AT$1095/$AS$1011</f>
        <v>0</v>
      </c>
      <c r="AW1095" s="29"/>
    </row>
    <row r="1096" spans="39:47" ht="17.25" customHeight="1">
      <c r="AM1096" s="608"/>
      <c r="AN1096" s="608"/>
      <c r="AO1096" s="608"/>
      <c r="AP1096" s="608"/>
      <c r="AQ1096" s="608"/>
      <c r="AR1096" s="608"/>
      <c r="AS1096" s="648" t="s">
        <v>2334</v>
      </c>
      <c r="AT1096" s="995">
        <f>SUM($AT$1089:$AT$1095)</f>
        <v>-0.023462399163379704</v>
      </c>
      <c r="AU1096" s="996">
        <f>SUM($AU$1089:$AU$1095)</f>
        <v>-0.7591880312818771</v>
      </c>
    </row>
    <row r="1097" spans="39:47" ht="17.25" customHeight="1">
      <c r="AM1097" s="608"/>
      <c r="AN1097" s="608" t="s">
        <v>346</v>
      </c>
      <c r="AO1097" s="608"/>
      <c r="AP1097" s="608"/>
      <c r="AQ1097" s="608"/>
      <c r="AR1097" s="608"/>
      <c r="AS1097" s="608"/>
      <c r="AT1097" s="991"/>
      <c r="AU1097" s="984">
        <f>$AR$1019</f>
        <v>0.8817651466495396</v>
      </c>
    </row>
    <row r="1098" spans="39:47" ht="17.25" customHeight="1">
      <c r="AM1098" s="608" t="s">
        <v>141</v>
      </c>
      <c r="AN1098" s="608"/>
      <c r="AO1098" s="608"/>
      <c r="AP1098" s="608"/>
      <c r="AQ1098" s="1499" t="str">
        <f>IF($AR$1019&gt;=1,"п о л о ж и т е л н и я","о т р и ц а т е л н и я")</f>
        <v>о т р и ц а т е л н и я</v>
      </c>
      <c r="AR1098" s="1499"/>
      <c r="AS1098" s="608" t="s">
        <v>345</v>
      </c>
      <c r="AT1098" s="608"/>
      <c r="AU1098" s="608"/>
    </row>
    <row r="1099" spans="39:47" ht="17.25" customHeight="1">
      <c r="AM1099" s="608" t="s">
        <v>344</v>
      </c>
      <c r="AN1099" s="608"/>
      <c r="AO1099" s="608"/>
      <c r="AP1099" s="608"/>
      <c r="AQ1099" s="608"/>
      <c r="AR1099" s="608"/>
      <c r="AS1099" s="608"/>
      <c r="AT1099" s="608"/>
      <c r="AU1099" s="608"/>
    </row>
    <row r="1100" spans="39:47" ht="17.25" customHeight="1">
      <c r="AM1100" s="608" t="s">
        <v>343</v>
      </c>
      <c r="AN1100" s="608"/>
      <c r="AO1100" s="608"/>
      <c r="AP1100" s="608"/>
      <c r="AQ1100" s="644" t="str">
        <f>IF($AR$1019&gt;=1,"по-висока","по-ниска")</f>
        <v>по-ниска</v>
      </c>
      <c r="AR1100" s="608" t="s">
        <v>574</v>
      </c>
      <c r="AS1100" s="608"/>
      <c r="AT1100" s="608"/>
      <c r="AU1100" s="608"/>
    </row>
    <row r="1101" spans="39:47" ht="17.25" customHeight="1">
      <c r="AM1101" s="608" t="s">
        <v>573</v>
      </c>
      <c r="AN1101" s="608"/>
      <c r="AO1101" s="608"/>
      <c r="AP1101" s="608"/>
      <c r="AQ1101" s="608"/>
      <c r="AR1101" s="608"/>
      <c r="AS1101" s="608"/>
      <c r="AT1101" s="608"/>
      <c r="AU1101" s="608"/>
    </row>
    <row r="1102" spans="39:48" ht="9" customHeight="1">
      <c r="AM1102" s="666"/>
      <c r="AN1102" s="666"/>
      <c r="AO1102" s="666"/>
      <c r="AP1102" s="666"/>
      <c r="AQ1102" s="666"/>
      <c r="AR1102" s="666"/>
      <c r="AS1102" s="666"/>
      <c r="AT1102" s="666"/>
      <c r="AU1102" s="666"/>
      <c r="AV1102" s="62"/>
    </row>
    <row r="1103" spans="39:48" ht="15.75" customHeight="1">
      <c r="AM1103" s="759" t="s">
        <v>2284</v>
      </c>
      <c r="AN1103" s="760"/>
      <c r="AO1103" s="760"/>
      <c r="AP1103" s="760"/>
      <c r="AQ1103" s="760"/>
      <c r="AR1103" s="761"/>
      <c r="AS1103" s="761"/>
      <c r="AT1103" s="760"/>
      <c r="AU1103" s="760"/>
      <c r="AV1103" s="62"/>
    </row>
    <row r="1104" spans="39:48" ht="15.75" customHeight="1">
      <c r="AM1104" s="762" t="str">
        <f>A3</f>
        <v>на  "ВИНЗАВОД"  АД - гр. Асеновград  към</v>
      </c>
      <c r="AN1104" s="760"/>
      <c r="AO1104" s="760"/>
      <c r="AP1104" s="760"/>
      <c r="AQ1104" s="760"/>
      <c r="AR1104" s="763"/>
      <c r="AS1104" s="763"/>
      <c r="AT1104" s="760"/>
      <c r="AU1104" s="760"/>
      <c r="AV1104" s="62"/>
    </row>
    <row r="1105" spans="39:48" ht="15.75" customHeight="1">
      <c r="AM1105" s="997">
        <f>A4</f>
        <v>39813</v>
      </c>
      <c r="AN1105" s="760"/>
      <c r="AO1105" s="760"/>
      <c r="AP1105" s="760"/>
      <c r="AQ1105" s="760"/>
      <c r="AR1105" s="763"/>
      <c r="AS1105" s="763"/>
      <c r="AT1105" s="760"/>
      <c r="AU1105" s="760"/>
      <c r="AV1105" s="62"/>
    </row>
    <row r="1106" spans="39:48" ht="15.75" customHeight="1" thickBot="1">
      <c r="AM1106" s="998"/>
      <c r="AN1106" s="766"/>
      <c r="AO1106" s="766"/>
      <c r="AP1106" s="766"/>
      <c r="AQ1106" s="766"/>
      <c r="AR1106" s="766"/>
      <c r="AS1106" s="766"/>
      <c r="AT1106" s="767"/>
      <c r="AU1106" s="768" t="s">
        <v>1610</v>
      </c>
      <c r="AV1106" s="62"/>
    </row>
    <row r="1107" spans="39:48" ht="15.75" customHeight="1">
      <c r="AM1107" s="769"/>
      <c r="AN1107" s="956"/>
      <c r="AO1107" s="957"/>
      <c r="AP1107" s="957"/>
      <c r="AQ1107" s="957"/>
      <c r="AR1107" s="875" t="str">
        <f>$D$7</f>
        <v>Текуща</v>
      </c>
      <c r="AS1107" s="876" t="str">
        <f>$E$7</f>
        <v>Предходна</v>
      </c>
      <c r="AT1107" s="774" t="s">
        <v>1611</v>
      </c>
      <c r="AU1107" s="855"/>
      <c r="AV1107" s="62"/>
    </row>
    <row r="1108" spans="39:48" ht="15.75" customHeight="1">
      <c r="AM1108" s="776" t="s">
        <v>1612</v>
      </c>
      <c r="AN1108" s="777" t="s">
        <v>1613</v>
      </c>
      <c r="AO1108" s="778"/>
      <c r="AP1108" s="778"/>
      <c r="AQ1108" s="778"/>
      <c r="AR1108" s="880" t="str">
        <f>$D$8</f>
        <v>година</v>
      </c>
      <c r="AS1108" s="881" t="str">
        <f>$E$8</f>
        <v>година</v>
      </c>
      <c r="AT1108" s="857"/>
      <c r="AU1108" s="858"/>
      <c r="AV1108" s="62"/>
    </row>
    <row r="1109" spans="39:48" ht="15.75" customHeight="1" thickBot="1">
      <c r="AM1109" s="782"/>
      <c r="AN1109" s="958"/>
      <c r="AO1109" s="959"/>
      <c r="AP1109" s="959"/>
      <c r="AQ1109" s="959"/>
      <c r="AR1109" s="835" t="s">
        <v>1614</v>
      </c>
      <c r="AS1109" s="885" t="s">
        <v>1614</v>
      </c>
      <c r="AT1109" s="786" t="s">
        <v>1614</v>
      </c>
      <c r="AU1109" s="787" t="s">
        <v>1615</v>
      </c>
      <c r="AV1109" s="62"/>
    </row>
    <row r="1110" spans="39:48" ht="15.75" customHeight="1">
      <c r="AM1110" s="916">
        <v>1</v>
      </c>
      <c r="AN1110" s="799" t="s">
        <v>1436</v>
      </c>
      <c r="AO1110" s="789"/>
      <c r="AP1110" s="789"/>
      <c r="AQ1110" s="806"/>
      <c r="AR1110" s="374">
        <f>K235-K194-K201</f>
        <v>309</v>
      </c>
      <c r="AS1110" s="374">
        <f>L235-L194-L201</f>
        <v>416</v>
      </c>
      <c r="AT1110" s="396">
        <f>AR1110-AS1110</f>
        <v>-107</v>
      </c>
      <c r="AU1110" s="397">
        <f>IF(AND(AS1110=0,AR1110=0),0,IF(AS1110&lt;&gt;0,AT1110/ABS(AS1110),IF(AS1110=0,AT1110/ABS(AR1110),FLASE)))</f>
        <v>-0.25721153846153844</v>
      </c>
      <c r="AV1110" s="62"/>
    </row>
    <row r="1111" spans="39:48" ht="15.75" customHeight="1">
      <c r="AM1111" s="794">
        <v>2</v>
      </c>
      <c r="AN1111" s="999" t="s">
        <v>830</v>
      </c>
      <c r="AO1111" s="789"/>
      <c r="AP1111" s="789"/>
      <c r="AQ1111" s="789"/>
      <c r="AR1111" s="96">
        <f>IF(' -'!$C$12="",Анализ!$K$214-$K$252,Анализ!$AS$998)</f>
        <v>138</v>
      </c>
      <c r="AS1111" s="96">
        <f>IF(' -'!$C$12="",Анализ!$L$214-$L$252,Анализ!$AR$998)</f>
        <v>457</v>
      </c>
      <c r="AT1111" s="207">
        <f>AR1111-AS1111</f>
        <v>-319</v>
      </c>
      <c r="AU1111" s="105">
        <f>IF(AND(AS1111=0,AR1111=0),0,IF(AS1111&lt;&gt;0,AT1111/ABS(AS1111),IF(AS1111=0,AT1111/ABS(AR1111),FLASE)))</f>
        <v>-0.6980306345733042</v>
      </c>
      <c r="AV1111" s="62"/>
    </row>
    <row r="1112" spans="39:60" ht="15.75" customHeight="1">
      <c r="AM1112" s="794">
        <v>3</v>
      </c>
      <c r="AN1112" s="999" t="s">
        <v>575</v>
      </c>
      <c r="AO1112" s="789"/>
      <c r="AP1112" s="789"/>
      <c r="AQ1112" s="789"/>
      <c r="AR1112" s="96">
        <f>IF(' -'!$B$11="",Анализ!$K$218-$K$253,Анализ!$AS$1003)</f>
        <v>103</v>
      </c>
      <c r="AS1112" s="96">
        <f>IF(' -'!$B$11="",Анализ!$L$218-$L$253,Анализ!$AR$1003)</f>
        <v>425</v>
      </c>
      <c r="AT1112" s="207">
        <f>AR1112-AS1112</f>
        <v>-322</v>
      </c>
      <c r="AU1112" s="105">
        <f>IF(AND(AS1112=0,AR1112=0),0,IF(AS1112&lt;&gt;0,AT1112/ABS(AS1112),IF(AS1112=0,AT1112/ABS(AR1112),FLASE)))</f>
        <v>-0.7576470588235295</v>
      </c>
      <c r="AV1112" s="62"/>
      <c r="BF1112" s="600" t="str">
        <f>+' -'!$E$21</f>
        <v>Програмата за финансов анализ е лицензирана на:</v>
      </c>
      <c r="BG1112" s="581"/>
      <c r="BH1112" s="581"/>
    </row>
    <row r="1113" spans="39:60" ht="15.75" customHeight="1">
      <c r="AM1113" s="794">
        <v>4</v>
      </c>
      <c r="AN1113" s="795" t="str">
        <f>AN498</f>
        <v>Платима сума през периода за погасяване</v>
      </c>
      <c r="AO1113" s="796"/>
      <c r="AP1113" s="796"/>
      <c r="AQ1113" s="797"/>
      <c r="AR1113" s="100"/>
      <c r="AS1113" s="100"/>
      <c r="AT1113" s="372"/>
      <c r="AU1113" s="107"/>
      <c r="AV1113" s="369"/>
      <c r="BF1113" s="601"/>
      <c r="BG1113" s="10"/>
      <c r="BH1113" s="10"/>
    </row>
    <row r="1114" spans="39:60" ht="15.75" customHeight="1">
      <c r="AM1114" s="805"/>
      <c r="AN1114" s="799" t="str">
        <f>AN499</f>
        <v>на дългосрочни задължения</v>
      </c>
      <c r="AO1114" s="789"/>
      <c r="AP1114" s="789"/>
      <c r="AQ1114" s="806"/>
      <c r="AR1114" s="207">
        <f>AR499</f>
        <v>0</v>
      </c>
      <c r="AS1114" s="207">
        <f>AS499</f>
        <v>0</v>
      </c>
      <c r="AT1114" s="373">
        <f>AR1114-AS1114</f>
        <v>0</v>
      </c>
      <c r="AU1114" s="103">
        <f>IF(AND(AS1114=0,AR1114=0),0,IF(AS1114&lt;&gt;0,AT1114/ABS(AS1114),IF(AS1114=0,AT1114/ABS(AR1114),FLASE)))</f>
        <v>0</v>
      </c>
      <c r="AV1114" s="369"/>
      <c r="BF1114" s="600" t="str">
        <f>+' -'!$E$22</f>
        <v>"В И Н З А В О Д"  А Д - гр. АСЕНОВГРАД</v>
      </c>
      <c r="BG1114" s="581"/>
      <c r="BH1114" s="581"/>
    </row>
    <row r="1115" spans="39:48" ht="15.75" customHeight="1">
      <c r="AM1115" s="794">
        <v>5</v>
      </c>
      <c r="AN1115" s="795" t="str">
        <f>AN501</f>
        <v>Дължими   лихви   по   кредити, лизинги   и</v>
      </c>
      <c r="AO1115" s="796"/>
      <c r="AP1115" s="796"/>
      <c r="AQ1115" s="797"/>
      <c r="AR1115" s="100"/>
      <c r="AS1115" s="100"/>
      <c r="AT1115" s="372"/>
      <c r="AU1115" s="107"/>
      <c r="AV1115" s="369"/>
    </row>
    <row r="1116" spans="39:48" ht="15.75" customHeight="1">
      <c r="AM1116" s="805"/>
      <c r="AN1116" s="799" t="str">
        <f>AN502</f>
        <v>погасителни фондове</v>
      </c>
      <c r="AO1116" s="789"/>
      <c r="AP1116" s="789"/>
      <c r="AQ1116" s="806"/>
      <c r="AR1116" s="207">
        <f>AR502</f>
        <v>0</v>
      </c>
      <c r="AS1116" s="384" t="str">
        <f>AS502</f>
        <v>х</v>
      </c>
      <c r="AT1116" s="385" t="s">
        <v>960</v>
      </c>
      <c r="AU1116" s="386" t="s">
        <v>960</v>
      </c>
      <c r="AV1116" s="369"/>
    </row>
    <row r="1117" spans="39:48" ht="15.75" customHeight="1">
      <c r="AM1117" s="805">
        <v>6</v>
      </c>
      <c r="AN1117" s="789" t="s">
        <v>29</v>
      </c>
      <c r="AO1117" s="789"/>
      <c r="AP1117" s="789"/>
      <c r="AQ1117" s="789"/>
      <c r="AR1117" s="96">
        <f>$D$164</f>
        <v>760</v>
      </c>
      <c r="AS1117" s="96">
        <f>$E$164</f>
        <v>984</v>
      </c>
      <c r="AT1117" s="96">
        <f>AR1117-AS1117</f>
        <v>-224</v>
      </c>
      <c r="AU1117" s="105">
        <f>IF(AND(AS1117=0,AR1117=0),0,IF(AS1117&lt;&gt;0,AT1117/ABS(AS1117),IF(AS1117=0,AT1117/ABS(AR1117),FLASE)))</f>
        <v>-0.22764227642276422</v>
      </c>
      <c r="AV1117" s="369"/>
    </row>
    <row r="1118" spans="39:48" ht="15.75" customHeight="1">
      <c r="AM1118" s="805">
        <v>7</v>
      </c>
      <c r="AN1118" s="789" t="s">
        <v>1693</v>
      </c>
      <c r="AO1118" s="789"/>
      <c r="AP1118" s="789"/>
      <c r="AQ1118" s="789"/>
      <c r="AR1118" s="96">
        <f>AR1114+AR1116+AR1117</f>
        <v>760</v>
      </c>
      <c r="AS1118" s="370" t="s">
        <v>960</v>
      </c>
      <c r="AT1118" s="370" t="s">
        <v>960</v>
      </c>
      <c r="AU1118" s="371" t="s">
        <v>960</v>
      </c>
      <c r="AV1118" s="62"/>
    </row>
    <row r="1119" spans="39:48" ht="15.75" customHeight="1">
      <c r="AM1119" s="788">
        <v>8</v>
      </c>
      <c r="AN1119" s="789" t="s">
        <v>1694</v>
      </c>
      <c r="AO1119" s="789"/>
      <c r="AP1119" s="789"/>
      <c r="AQ1119" s="1000"/>
      <c r="AR1119" s="96">
        <f>D95</f>
        <v>125</v>
      </c>
      <c r="AS1119" s="96">
        <f>E95</f>
        <v>239</v>
      </c>
      <c r="AT1119" s="94">
        <f aca="true" t="shared" si="44" ref="AT1119:AT1124">AR1119-AS1119</f>
        <v>-114</v>
      </c>
      <c r="AU1119" s="95">
        <f aca="true" t="shared" si="45" ref="AU1119:AU1124">IF(AND(AS1119=0,AR1119=0),0,IF(AS1119&lt;&gt;0,AT1119/ABS(AS1119),IF(AS1119=0,AT1119/ABS(AR1119),FLASE)))</f>
        <v>-0.4769874476987448</v>
      </c>
      <c r="AV1119" s="62"/>
    </row>
    <row r="1120" spans="39:48" ht="15.75" customHeight="1">
      <c r="AM1120" s="788">
        <v>9</v>
      </c>
      <c r="AN1120" s="789" t="s">
        <v>1212</v>
      </c>
      <c r="AO1120" s="789"/>
      <c r="AP1120" s="789"/>
      <c r="AQ1120" s="789"/>
      <c r="AR1120" s="96">
        <f>D141</f>
        <v>5845</v>
      </c>
      <c r="AS1120" s="96">
        <f>E141</f>
        <v>3478</v>
      </c>
      <c r="AT1120" s="207">
        <f t="shared" si="44"/>
        <v>2367</v>
      </c>
      <c r="AU1120" s="105">
        <f t="shared" si="45"/>
        <v>0.68056354226567</v>
      </c>
      <c r="AV1120" s="62"/>
    </row>
    <row r="1121" spans="39:48" ht="15.75" customHeight="1">
      <c r="AM1121" s="805">
        <v>10</v>
      </c>
      <c r="AN1121" s="789" t="s">
        <v>2454</v>
      </c>
      <c r="AO1121" s="789"/>
      <c r="AP1121" s="789"/>
      <c r="AQ1121" s="789"/>
      <c r="AR1121" s="207">
        <f>$D$130</f>
        <v>13840</v>
      </c>
      <c r="AS1121" s="207">
        <f>$E$130</f>
        <v>13752</v>
      </c>
      <c r="AT1121" s="207">
        <f t="shared" si="44"/>
        <v>88</v>
      </c>
      <c r="AU1121" s="105">
        <f t="shared" si="45"/>
        <v>0.006399069226294357</v>
      </c>
      <c r="AV1121" s="62"/>
    </row>
    <row r="1122" spans="39:48" ht="15.75" customHeight="1">
      <c r="AM1122" s="788">
        <v>11</v>
      </c>
      <c r="AN1122" s="789" t="s">
        <v>11</v>
      </c>
      <c r="AO1122" s="789"/>
      <c r="AP1122" s="789"/>
      <c r="AQ1122" s="789"/>
      <c r="AR1122" s="96">
        <f>D167</f>
        <v>21489</v>
      </c>
      <c r="AS1122" s="96">
        <f>E167</f>
        <v>19317</v>
      </c>
      <c r="AT1122" s="94">
        <f t="shared" si="44"/>
        <v>2172</v>
      </c>
      <c r="AU1122" s="95">
        <f t="shared" si="45"/>
        <v>0.11243981984780245</v>
      </c>
      <c r="AV1122" s="62"/>
    </row>
    <row r="1123" spans="39:48" ht="15.75" customHeight="1">
      <c r="AM1123" s="805">
        <v>12</v>
      </c>
      <c r="AN1123" s="789" t="s">
        <v>28</v>
      </c>
      <c r="AO1123" s="789"/>
      <c r="AP1123" s="789"/>
      <c r="AQ1123" s="789"/>
      <c r="AR1123" s="207">
        <f>$D$97</f>
        <v>12809</v>
      </c>
      <c r="AS1123" s="96">
        <f>$E$97</f>
        <v>12326</v>
      </c>
      <c r="AT1123" s="96">
        <f t="shared" si="44"/>
        <v>483</v>
      </c>
      <c r="AU1123" s="105">
        <f t="shared" si="45"/>
        <v>0.03918546162583158</v>
      </c>
      <c r="AV1123" s="62"/>
    </row>
    <row r="1124" spans="39:48" ht="15.75" customHeight="1">
      <c r="AM1124" s="788">
        <v>13</v>
      </c>
      <c r="AN1124" s="789" t="s">
        <v>1530</v>
      </c>
      <c r="AO1124" s="789"/>
      <c r="AP1124" s="789"/>
      <c r="AQ1124" s="789"/>
      <c r="AR1124" s="97">
        <f>AR1123-AR1117</f>
        <v>12049</v>
      </c>
      <c r="AS1124" s="97">
        <f>AS1123-AS1117</f>
        <v>11342</v>
      </c>
      <c r="AT1124" s="96">
        <f t="shared" si="44"/>
        <v>707</v>
      </c>
      <c r="AU1124" s="105">
        <f t="shared" si="45"/>
        <v>0.06233468524069829</v>
      </c>
      <c r="AV1124" s="62"/>
    </row>
    <row r="1125" spans="39:48" ht="15.75" customHeight="1">
      <c r="AM1125" s="805">
        <v>14</v>
      </c>
      <c r="AN1125" s="789" t="s">
        <v>1333</v>
      </c>
      <c r="AO1125" s="789"/>
      <c r="AP1125" s="789"/>
      <c r="AQ1125" s="789"/>
      <c r="AR1125" s="368">
        <f>IF(AR1116=0,1,AR1110/AR1116)</f>
        <v>1</v>
      </c>
      <c r="AS1125" s="370" t="s">
        <v>960</v>
      </c>
      <c r="AT1125" s="370" t="s">
        <v>960</v>
      </c>
      <c r="AU1125" s="371" t="s">
        <v>960</v>
      </c>
      <c r="AV1125" s="62"/>
    </row>
    <row r="1126" spans="39:48" ht="15.75" customHeight="1">
      <c r="AM1126" s="788">
        <v>15</v>
      </c>
      <c r="AN1126" s="789" t="s">
        <v>1531</v>
      </c>
      <c r="AO1126" s="789"/>
      <c r="AP1126" s="789"/>
      <c r="AQ1126" s="789"/>
      <c r="AR1126" s="368">
        <f>AR1110/AR1118</f>
        <v>0.40657894736842104</v>
      </c>
      <c r="AS1126" s="370" t="s">
        <v>960</v>
      </c>
      <c r="AT1126" s="370" t="s">
        <v>960</v>
      </c>
      <c r="AU1126" s="371" t="s">
        <v>960</v>
      </c>
      <c r="AV1126" s="62"/>
    </row>
    <row r="1127" spans="39:48" ht="15.75" customHeight="1">
      <c r="AM1127" s="805">
        <v>16</v>
      </c>
      <c r="AN1127" s="914" t="s">
        <v>1532</v>
      </c>
      <c r="AO1127" s="789"/>
      <c r="AP1127" s="789"/>
      <c r="AQ1127" s="789"/>
      <c r="AR1127" s="368">
        <f>AR1119/AR1118</f>
        <v>0.16447368421052633</v>
      </c>
      <c r="AS1127" s="368">
        <f>AS1119/AS1117</f>
        <v>0.24288617886178862</v>
      </c>
      <c r="AT1127" s="368">
        <f>AR1127-AS1127</f>
        <v>-0.0784124946512623</v>
      </c>
      <c r="AU1127" s="95">
        <f>IF(AND(AS1127=0,AR1127=0),0,IF(AS1127&lt;&gt;0,AT1127/ABS(AS1127),IF(AS1127=0,AT1127/ABS(AR1127),FLASE)))</f>
        <v>-0.32283637965205897</v>
      </c>
      <c r="AV1127" s="62"/>
    </row>
    <row r="1128" spans="39:48" ht="15.75" customHeight="1">
      <c r="AM1128" s="788">
        <v>17</v>
      </c>
      <c r="AN1128" s="789" t="s">
        <v>1085</v>
      </c>
      <c r="AO1128" s="789"/>
      <c r="AP1128" s="789"/>
      <c r="AQ1128" s="789"/>
      <c r="AR1128" s="108">
        <f>AR1110/AR1122</f>
        <v>0.01437944995113779</v>
      </c>
      <c r="AS1128" s="108">
        <f>AS1110/AS1122</f>
        <v>0.021535435108971372</v>
      </c>
      <c r="AT1128" s="367">
        <f>AR1128-AS1128</f>
        <v>-0.007155985157833581</v>
      </c>
      <c r="AU1128" s="95">
        <f>IF(AND(AS1128=0,AR1128=0),0,IF(AS1128&lt;&gt;0,AT1128/ABS(AS1128),IF(AS1128=0,AT1128/ABS(AR1128),FLASE)))</f>
        <v>-0.33228885887949833</v>
      </c>
      <c r="AV1128" s="62"/>
    </row>
    <row r="1129" spans="39:48" ht="15.75" customHeight="1">
      <c r="AM1129" s="805">
        <v>18</v>
      </c>
      <c r="AN1129" s="914" t="s">
        <v>1086</v>
      </c>
      <c r="AO1129" s="789"/>
      <c r="AP1129" s="789"/>
      <c r="AQ1129" s="789"/>
      <c r="AR1129" s="108">
        <f>AR1120/AR1122</f>
        <v>0.2719996277165061</v>
      </c>
      <c r="AS1129" s="108">
        <f>AS1120/AS1122</f>
        <v>0.18004866180048662</v>
      </c>
      <c r="AT1129" s="367">
        <f>AR1129-AS1129</f>
        <v>0.09195096591601948</v>
      </c>
      <c r="AU1129" s="95">
        <f>IF(AND(AS1129=0,AR1129=0),0,IF(AS1129&lt;&gt;0,AT1129/ABS(AS1129),IF(AS1129=0,AT1129/ABS(AR1129),FLASE)))</f>
        <v>0.5107006350200541</v>
      </c>
      <c r="AV1129" s="62"/>
    </row>
    <row r="1130" spans="39:48" ht="15.75" customHeight="1">
      <c r="AM1130" s="794">
        <v>19</v>
      </c>
      <c r="AN1130" s="795" t="s">
        <v>1087</v>
      </c>
      <c r="AO1130" s="796"/>
      <c r="AP1130" s="796"/>
      <c r="AQ1130" s="797"/>
      <c r="AR1130" s="100"/>
      <c r="AS1130" s="100"/>
      <c r="AT1130" s="372"/>
      <c r="AU1130" s="107"/>
      <c r="AV1130" s="62"/>
    </row>
    <row r="1131" spans="39:48" ht="15.75" customHeight="1">
      <c r="AM1131" s="805"/>
      <c r="AN1131" s="799" t="s">
        <v>1533</v>
      </c>
      <c r="AO1131" s="789"/>
      <c r="AP1131" s="789"/>
      <c r="AQ1131" s="806"/>
      <c r="AR1131" s="1001">
        <f>IF(AR1117=0,1,AR1124/AR1117)</f>
        <v>15.853947368421053</v>
      </c>
      <c r="AS1131" s="1001">
        <f>IF(AS1117=0,1,AS1124/AS1117)</f>
        <v>11.526422764227643</v>
      </c>
      <c r="AT1131" s="1001">
        <f>AR1131-AS1131</f>
        <v>4.32752460419341</v>
      </c>
      <c r="AU1131" s="103">
        <f>IF(AND(AS1131=0,AR1131=0),0,IF(AS1131&lt;&gt;0,AT1131/ABS(AS1131),IF(AS1131=0,AT1131/ABS(AR1131),FLASE)))</f>
        <v>0.3754438556274304</v>
      </c>
      <c r="AV1131" s="62"/>
    </row>
    <row r="1132" spans="39:48" ht="15.75" customHeight="1">
      <c r="AM1132" s="794">
        <v>20</v>
      </c>
      <c r="AN1132" s="795" t="s">
        <v>1230</v>
      </c>
      <c r="AO1132" s="796"/>
      <c r="AP1132" s="796"/>
      <c r="AQ1132" s="797"/>
      <c r="AR1132" s="1002"/>
      <c r="AS1132" s="374"/>
      <c r="AT1132" s="1003"/>
      <c r="AU1132" s="115"/>
      <c r="AV1132" s="62"/>
    </row>
    <row r="1133" spans="39:48" ht="15.75" customHeight="1">
      <c r="AM1133" s="805"/>
      <c r="AN1133" s="799" t="s">
        <v>1528</v>
      </c>
      <c r="AO1133" s="789"/>
      <c r="AP1133" s="789"/>
      <c r="AQ1133" s="806"/>
      <c r="AR1133" s="1001">
        <f>IF(AR1120=0,1,AR1121/AR1120)</f>
        <v>2.367835757057314</v>
      </c>
      <c r="AS1133" s="1001">
        <f>IF(AS1120=0,1,AS1121/AS1120)</f>
        <v>3.9539965497412304</v>
      </c>
      <c r="AT1133" s="1001">
        <f>AR1133-AS1133</f>
        <v>-1.5861607926839163</v>
      </c>
      <c r="AU1133" s="105">
        <f>IF(AND(AS1133=0,AR1133=0),0,IF(AS1133&lt;&gt;0,AT1133/ABS(AS1133),IF(AS1133=0,AT1133/ABS(AR1133),FLASE)))</f>
        <v>-0.4011538130420783</v>
      </c>
      <c r="AV1133" s="62"/>
    </row>
    <row r="1134" spans="39:48" ht="15.75" customHeight="1">
      <c r="AM1134" s="794">
        <v>21</v>
      </c>
      <c r="AN1134" s="1004" t="s">
        <v>1529</v>
      </c>
      <c r="AO1134" s="796"/>
      <c r="AP1134" s="796"/>
      <c r="AQ1134" s="797"/>
      <c r="AR1134" s="1002"/>
      <c r="AS1134" s="374"/>
      <c r="AT1134" s="1003"/>
      <c r="AU1134" s="115"/>
      <c r="AV1134" s="62"/>
    </row>
    <row r="1135" spans="39:48" ht="15.75" customHeight="1">
      <c r="AM1135" s="805"/>
      <c r="AN1135" s="803" t="s">
        <v>1484</v>
      </c>
      <c r="AO1135" s="789"/>
      <c r="AP1135" s="789"/>
      <c r="AQ1135" s="806"/>
      <c r="AR1135" s="1005">
        <f>IF(AR1118=0,"x",+AR1111/AR1118)</f>
        <v>0.18157894736842106</v>
      </c>
      <c r="AS1135" s="1006" t="s">
        <v>960</v>
      </c>
      <c r="AT1135" s="384" t="s">
        <v>960</v>
      </c>
      <c r="AU1135" s="1007" t="s">
        <v>960</v>
      </c>
      <c r="AV1135" s="62"/>
    </row>
    <row r="1136" spans="39:48" ht="15.75" customHeight="1">
      <c r="AM1136" s="794">
        <v>22</v>
      </c>
      <c r="AN1136" s="795" t="s">
        <v>2325</v>
      </c>
      <c r="AO1136" s="796"/>
      <c r="AP1136" s="796"/>
      <c r="AQ1136" s="796"/>
      <c r="AR1136" s="1002"/>
      <c r="AS1136" s="1002"/>
      <c r="AT1136" s="1002"/>
      <c r="AU1136" s="1008"/>
      <c r="AV1136" s="62"/>
    </row>
    <row r="1137" spans="39:48" ht="15.75" customHeight="1" thickBot="1">
      <c r="AM1137" s="919"/>
      <c r="AN1137" s="813" t="s">
        <v>1088</v>
      </c>
      <c r="AO1137" s="814"/>
      <c r="AP1137" s="814"/>
      <c r="AQ1137" s="814"/>
      <c r="AR1137" s="208">
        <f>+AR1112/AR1121</f>
        <v>0.007442196531791907</v>
      </c>
      <c r="AS1137" s="208">
        <f>+AS1112/AS1121</f>
        <v>0.03090459569517161</v>
      </c>
      <c r="AT1137" s="208">
        <f>AR1137-AS1137</f>
        <v>-0.023462399163379704</v>
      </c>
      <c r="AU1137" s="375">
        <f>IF(AND(AS1137=0,AR1137=0),0,IF(AS1137&lt;&gt;0,AT1137/ABS(AS1137),IF(AS1137=0,AT1137/ABS(AR1137),FLASE)))</f>
        <v>-0.759188031281877</v>
      </c>
      <c r="AV1137" s="62"/>
    </row>
    <row r="1138" spans="39:48" ht="15.75" customHeight="1" thickBot="1">
      <c r="AM1138" s="818" t="s">
        <v>1080</v>
      </c>
      <c r="AN1138" s="760"/>
      <c r="AO1138" s="760"/>
      <c r="AP1138" s="760"/>
      <c r="AQ1138" s="760"/>
      <c r="AR1138" s="760"/>
      <c r="AS1138" s="760"/>
      <c r="AT1138" s="760"/>
      <c r="AU1138" s="760"/>
      <c r="AV1138" s="62"/>
    </row>
    <row r="1139" spans="39:48" ht="15.75" customHeight="1">
      <c r="AM1139" s="1009" t="s">
        <v>1079</v>
      </c>
      <c r="AN1139" s="1465" t="s">
        <v>1078</v>
      </c>
      <c r="AO1139" s="1502"/>
      <c r="AP1139" s="1465" t="s">
        <v>1081</v>
      </c>
      <c r="AQ1139" s="1502"/>
      <c r="AR1139" s="1465" t="s">
        <v>1077</v>
      </c>
      <c r="AS1139" s="1502"/>
      <c r="AT1139" s="1540" t="s">
        <v>1082</v>
      </c>
      <c r="AU1139" s="1541"/>
      <c r="AV1139" s="62"/>
    </row>
    <row r="1140" spans="39:48" ht="15.75" customHeight="1">
      <c r="AM1140" s="1010" t="s">
        <v>1076</v>
      </c>
      <c r="AN1140" s="1520" t="s">
        <v>1075</v>
      </c>
      <c r="AO1140" s="1521"/>
      <c r="AP1140" s="1520" t="s">
        <v>1074</v>
      </c>
      <c r="AQ1140" s="1521"/>
      <c r="AR1140" s="1520" t="s">
        <v>1073</v>
      </c>
      <c r="AS1140" s="1521"/>
      <c r="AT1140" s="1520" t="s">
        <v>1083</v>
      </c>
      <c r="AU1140" s="1539"/>
      <c r="AV1140" s="62"/>
    </row>
    <row r="1141" spans="39:48" ht="15.75" customHeight="1">
      <c r="AM1141" s="1011" t="s">
        <v>1072</v>
      </c>
      <c r="AN1141" s="1495">
        <f>IF($AR$1126&gt;=6,$AR$1126,"")</f>
      </c>
      <c r="AO1141" s="1496"/>
      <c r="AP1141" s="1495">
        <f>IF($AR$1127&gt;=0.4,$AR$1127,"")</f>
      </c>
      <c r="AQ1141" s="1496"/>
      <c r="AR1141" s="1497">
        <f>IF($AR$1128&gt;=20%,$AR$1128,"")</f>
      </c>
      <c r="AS1141" s="1498"/>
      <c r="AT1141" s="1497">
        <f>IF($AR$1129&lt;=12.5%,$AR$1129,"")</f>
      </c>
      <c r="AU1141" s="1468"/>
      <c r="AV1141" s="62"/>
    </row>
    <row r="1142" spans="39:48" ht="15.75" customHeight="1">
      <c r="AM1142" s="1011" t="s">
        <v>1071</v>
      </c>
      <c r="AN1142" s="1495">
        <f>IF(AND($AR$1126&gt;=4,$AR$1126&lt;6),$AR$1126,"")</f>
      </c>
      <c r="AO1142" s="1496"/>
      <c r="AP1142" s="1495">
        <f>IF(AND($AR$1127&gt;=0.25,$AR$1127&lt;0.4),$AR$1127,"")</f>
      </c>
      <c r="AQ1142" s="1496"/>
      <c r="AR1142" s="1497">
        <f>IF(AND($AR$1128&gt;=15%,$AR$1128&lt;20%),$AR$1128,"")</f>
      </c>
      <c r="AS1142" s="1498"/>
      <c r="AT1142" s="1497">
        <f>IF(AND($AR$1129&gt;=12.5%,$AR$1129&lt;20%),$AR$1129,"")</f>
      </c>
      <c r="AU1142" s="1468"/>
      <c r="AV1142" s="62"/>
    </row>
    <row r="1143" spans="39:48" ht="15.75" customHeight="1">
      <c r="AM1143" s="1011" t="s">
        <v>1855</v>
      </c>
      <c r="AN1143" s="1495">
        <f>IF(AND($AR$1126&gt;=2,$AR$1126&lt;4),$AR$1126,"")</f>
      </c>
      <c r="AO1143" s="1496"/>
      <c r="AP1143" s="1495">
        <f>IF(AND($AR$1127&gt;=0.1,$AR$1127&lt;0.25),$AR$1127,"")</f>
        <v>0.16447368421052633</v>
      </c>
      <c r="AQ1143" s="1496"/>
      <c r="AR1143" s="1497">
        <f>IF(AND($AR$1128&gt;=12.5%,$AR$1128&lt;15%),$AR$1128,"")</f>
      </c>
      <c r="AS1143" s="1498"/>
      <c r="AT1143" s="1497">
        <f>IF(AND($AR$1129&gt;=20%,$AR$1129&lt;35%),$AR$1129,"")</f>
        <v>0.2719996277165061</v>
      </c>
      <c r="AU1143" s="1468"/>
      <c r="AV1143" s="62"/>
    </row>
    <row r="1144" spans="39:48" ht="15.75" customHeight="1">
      <c r="AM1144" s="1011" t="s">
        <v>1070</v>
      </c>
      <c r="AN1144" s="1495">
        <f>IF(AND($AR$1126&gt;=1.5,$AR$1126&lt;2),$AR$1126,"")</f>
      </c>
      <c r="AO1144" s="1496"/>
      <c r="AP1144" s="1495">
        <f>IF(AND($AR$1127&gt;=0.03,$AR$1127&lt;0.1),$AR$1127,"")</f>
      </c>
      <c r="AQ1144" s="1496"/>
      <c r="AR1144" s="1497">
        <f>IF(AND($AR$1128&gt;=10%,$AR$1128&lt;12.5%),$AR$1128,"")</f>
      </c>
      <c r="AS1144" s="1498"/>
      <c r="AT1144" s="1497">
        <f>IF(AND($AR$1129&gt;=35%,$AR$1129&lt;50%),$AR$1129,"")</f>
      </c>
      <c r="AU1144" s="1468"/>
      <c r="AV1144" s="62"/>
    </row>
    <row r="1145" spans="39:48" ht="15.75" customHeight="1">
      <c r="AM1145" s="1011" t="s">
        <v>1069</v>
      </c>
      <c r="AN1145" s="1495">
        <f>IF(AND($AR$1126&gt;=1,$AR$1126&lt;1.5),$AR$1126,"")</f>
      </c>
      <c r="AO1145" s="1496"/>
      <c r="AP1145" s="1495">
        <f>IF(AND($AR$1127&gt;=0.01,$AR$1127&lt;0.03),$AR$1127,"")</f>
      </c>
      <c r="AQ1145" s="1496"/>
      <c r="AR1145" s="1497">
        <f>IF(AND($AR$1128&gt;=6%,$AR$1128&lt;10%),$AR$1128,"")</f>
      </c>
      <c r="AS1145" s="1498"/>
      <c r="AT1145" s="1497">
        <f>IF(AND($AR$1129&gt;=50%,$AR$1129&lt;60%),$AR$1129,"")</f>
      </c>
      <c r="AU1145" s="1468"/>
      <c r="AV1145" s="62"/>
    </row>
    <row r="1146" spans="39:48" ht="15.75" customHeight="1" thickBot="1">
      <c r="AM1146" s="1012" t="s">
        <v>256</v>
      </c>
      <c r="AN1146" s="1469">
        <f>IF($AR$1126&lt;1,$AR$1126,"")</f>
        <v>0.40657894736842104</v>
      </c>
      <c r="AO1146" s="1463"/>
      <c r="AP1146" s="1469">
        <f>IF($AR$1127&lt;0.01,$AR$1127,"")</f>
      </c>
      <c r="AQ1146" s="1463"/>
      <c r="AR1146" s="1493">
        <f>IF($AR$1128&lt;6%,$AR$1128,"")</f>
        <v>0.01437944995113779</v>
      </c>
      <c r="AS1146" s="1464"/>
      <c r="AT1146" s="1493">
        <f>IF($AR$1129&gt;=60%,$AR$1129,"")</f>
      </c>
      <c r="AU1146" s="1494"/>
      <c r="AV1146" s="62"/>
    </row>
    <row r="1147" spans="39:47" ht="9" customHeight="1">
      <c r="AM1147" s="1013"/>
      <c r="AN1147" s="1014"/>
      <c r="AO1147" s="1014"/>
      <c r="AP1147" s="1014"/>
      <c r="AQ1147" s="1014"/>
      <c r="AR1147" s="1014"/>
      <c r="AS1147" s="1014"/>
      <c r="AT1147" s="1014"/>
      <c r="AU1147" s="1013"/>
    </row>
    <row r="1148" spans="39:47" ht="15.75" customHeight="1">
      <c r="AM1148" s="608"/>
      <c r="AN1148" s="1015" t="s">
        <v>2425</v>
      </c>
      <c r="AO1148" s="1014"/>
      <c r="AP1148" s="1014"/>
      <c r="AQ1148" s="1014"/>
      <c r="AR1148" s="1014"/>
      <c r="AS1148" s="1014"/>
      <c r="AT1148" s="1014"/>
      <c r="AU1148" s="608"/>
    </row>
    <row r="1149" spans="39:47" ht="15.75" customHeight="1">
      <c r="AM1149" s="608"/>
      <c r="AN1149" s="1015" t="str">
        <f>+AM513</f>
        <v>"В И Н З А В О Д"  А Д - гр. АСЕНОВГРАД</v>
      </c>
      <c r="AO1149" s="1014"/>
      <c r="AP1149" s="1014"/>
      <c r="AQ1149" s="1014"/>
      <c r="AR1149" s="1014"/>
      <c r="AS1149" s="1014"/>
      <c r="AT1149" s="1014"/>
      <c r="AU1149" s="608"/>
    </row>
    <row r="1150" spans="39:47" ht="11.25" customHeight="1">
      <c r="AM1150" s="608"/>
      <c r="AN1150" s="608"/>
      <c r="AO1150" s="608"/>
      <c r="AP1150" s="608"/>
      <c r="AQ1150" s="608"/>
      <c r="AR1150" s="608"/>
      <c r="AS1150" s="608"/>
      <c r="AT1150" s="608"/>
      <c r="AU1150" s="608"/>
    </row>
    <row r="1151" spans="39:47" ht="24.75" customHeight="1">
      <c r="AM1151" s="1016" t="s">
        <v>875</v>
      </c>
      <c r="AN1151" s="1017"/>
      <c r="AO1151" s="1017"/>
      <c r="AP1151" s="1017"/>
      <c r="AQ1151" s="1017"/>
      <c r="AR1151" s="1017"/>
      <c r="AS1151" s="1017"/>
      <c r="AT1151" s="214"/>
      <c r="AU1151" s="608"/>
    </row>
    <row r="1152" spans="39:47" ht="24.75" customHeight="1" thickBot="1">
      <c r="AM1152" s="1016" t="str">
        <f>AM513</f>
        <v>"В И Н З А В О Д"  А Д - гр. АСЕНОВГРАД</v>
      </c>
      <c r="AN1152" s="1017"/>
      <c r="AO1152" s="1017"/>
      <c r="AP1152" s="1017"/>
      <c r="AQ1152" s="1017"/>
      <c r="AR1152" s="1017"/>
      <c r="AS1152" s="1017"/>
      <c r="AT1152" s="214"/>
      <c r="AU1152" s="1018" t="s">
        <v>1610</v>
      </c>
    </row>
    <row r="1153" spans="39:47" ht="24.75" customHeight="1">
      <c r="AM1153" s="872"/>
      <c r="AN1153" s="940"/>
      <c r="AO1153" s="941"/>
      <c r="AP1153" s="941"/>
      <c r="AQ1153" s="941"/>
      <c r="AR1153" s="1019" t="str">
        <f>$D$7</f>
        <v>Текуща</v>
      </c>
      <c r="AS1153" s="1020" t="str">
        <f>$E$7</f>
        <v>Предходна</v>
      </c>
      <c r="AT1153" s="831" t="s">
        <v>1611</v>
      </c>
      <c r="AU1153" s="832"/>
    </row>
    <row r="1154" spans="39:47" ht="24.75" customHeight="1">
      <c r="AM1154" s="877" t="s">
        <v>1612</v>
      </c>
      <c r="AN1154" s="927" t="s">
        <v>1613</v>
      </c>
      <c r="AO1154" s="879"/>
      <c r="AP1154" s="879"/>
      <c r="AQ1154" s="879"/>
      <c r="AR1154" s="1021" t="str">
        <f>$D$8</f>
        <v>година</v>
      </c>
      <c r="AS1154" s="1022" t="str">
        <f>$E$8</f>
        <v>година</v>
      </c>
      <c r="AT1154" s="1023"/>
      <c r="AU1154" s="1024"/>
    </row>
    <row r="1155" spans="39:47" ht="24.75" customHeight="1" thickBot="1">
      <c r="AM1155" s="833"/>
      <c r="AN1155" s="942"/>
      <c r="AO1155" s="943"/>
      <c r="AP1155" s="943"/>
      <c r="AQ1155" s="943"/>
      <c r="AR1155" s="954" t="s">
        <v>1614</v>
      </c>
      <c r="AS1155" s="834" t="s">
        <v>1614</v>
      </c>
      <c r="AT1155" s="944" t="s">
        <v>1614</v>
      </c>
      <c r="AU1155" s="945" t="s">
        <v>1615</v>
      </c>
    </row>
    <row r="1156" spans="39:58" ht="24.75" customHeight="1">
      <c r="AM1156" s="805">
        <v>1</v>
      </c>
      <c r="AN1156" s="789" t="s">
        <v>1146</v>
      </c>
      <c r="AO1156" s="789"/>
      <c r="AP1156" s="789"/>
      <c r="AQ1156" s="789"/>
      <c r="AR1156" s="96">
        <f>IF(' -'!$B$11="",Анализ!$K$222-$K$257,Анализ!$AS$1003)</f>
        <v>103</v>
      </c>
      <c r="AS1156" s="96">
        <f>IF(' -'!$B$11="",Анализ!$L$222-$L$257,Анализ!$AR$1003)</f>
        <v>425</v>
      </c>
      <c r="AT1156" s="207">
        <f aca="true" t="shared" si="46" ref="AT1156:AT1169">AR1156-AS1156</f>
        <v>-322</v>
      </c>
      <c r="AU1156" s="105">
        <f aca="true" t="shared" si="47" ref="AU1156:AU1169">IF(AND(AS1156=0,AR1156=0),0,IF(AS1156&lt;&gt;0,AT1156/ABS(AS1156),IF(AS1156=0,AT1156/ABS(AR1156),FLASE)))</f>
        <v>-0.7576470588235295</v>
      </c>
      <c r="AV1156" s="63"/>
      <c r="BF1156" s="275" t="s">
        <v>1455</v>
      </c>
    </row>
    <row r="1157" spans="39:47" ht="24.75" customHeight="1">
      <c r="AM1157" s="805">
        <v>2</v>
      </c>
      <c r="AN1157" s="789" t="s">
        <v>1237</v>
      </c>
      <c r="AO1157" s="789"/>
      <c r="AP1157" s="789"/>
      <c r="AQ1157" s="789"/>
      <c r="AR1157" s="96">
        <f>$K$235</f>
        <v>6688</v>
      </c>
      <c r="AS1157" s="96">
        <f>$L$235</f>
        <v>7508</v>
      </c>
      <c r="AT1157" s="207">
        <f t="shared" si="46"/>
        <v>-820</v>
      </c>
      <c r="AU1157" s="105">
        <f t="shared" si="47"/>
        <v>-0.10921683537559936</v>
      </c>
    </row>
    <row r="1158" spans="39:47" ht="24.75" customHeight="1">
      <c r="AM1158" s="805">
        <v>3</v>
      </c>
      <c r="AN1158" s="789" t="s">
        <v>2454</v>
      </c>
      <c r="AO1158" s="789"/>
      <c r="AP1158" s="789"/>
      <c r="AQ1158" s="789"/>
      <c r="AR1158" s="207">
        <f>$D$130</f>
        <v>13840</v>
      </c>
      <c r="AS1158" s="207">
        <f>$E$130</f>
        <v>13752</v>
      </c>
      <c r="AT1158" s="96">
        <f t="shared" si="46"/>
        <v>88</v>
      </c>
      <c r="AU1158" s="105">
        <f t="shared" si="47"/>
        <v>0.006399069226294357</v>
      </c>
    </row>
    <row r="1159" spans="39:47" ht="24.75" customHeight="1">
      <c r="AM1159" s="805">
        <v>4</v>
      </c>
      <c r="AN1159" s="791" t="s">
        <v>1668</v>
      </c>
      <c r="AO1159" s="792"/>
      <c r="AP1159" s="792"/>
      <c r="AQ1159" s="792"/>
      <c r="AR1159" s="207">
        <f>$D$144+$D$166</f>
        <v>7649</v>
      </c>
      <c r="AS1159" s="207">
        <f>$E$144+$E$166</f>
        <v>5565</v>
      </c>
      <c r="AT1159" s="96">
        <f t="shared" si="46"/>
        <v>2084</v>
      </c>
      <c r="AU1159" s="105">
        <f t="shared" si="47"/>
        <v>0.37448337825696315</v>
      </c>
    </row>
    <row r="1160" spans="39:47" ht="24.75" customHeight="1">
      <c r="AM1160" s="805">
        <v>5</v>
      </c>
      <c r="AN1160" s="791" t="s">
        <v>1024</v>
      </c>
      <c r="AO1160" s="789"/>
      <c r="AP1160" s="789"/>
      <c r="AQ1160" s="789"/>
      <c r="AR1160" s="207">
        <f>$D$98</f>
        <v>21489</v>
      </c>
      <c r="AS1160" s="207">
        <f>$E$98</f>
        <v>19317</v>
      </c>
      <c r="AT1160" s="207">
        <f t="shared" si="46"/>
        <v>2172</v>
      </c>
      <c r="AU1160" s="105">
        <f t="shared" si="47"/>
        <v>0.11243981984780245</v>
      </c>
    </row>
    <row r="1161" spans="39:60" ht="24.75" customHeight="1">
      <c r="AM1161" s="805">
        <v>6</v>
      </c>
      <c r="AN1161" s="789" t="s">
        <v>2326</v>
      </c>
      <c r="AO1161" s="789"/>
      <c r="AP1161" s="789"/>
      <c r="AQ1161" s="789"/>
      <c r="AR1161" s="207">
        <f>K251</f>
        <v>6945</v>
      </c>
      <c r="AS1161" s="207">
        <f>L251</f>
        <v>7831</v>
      </c>
      <c r="AT1161" s="207">
        <f t="shared" si="46"/>
        <v>-886</v>
      </c>
      <c r="AU1161" s="105">
        <f t="shared" si="47"/>
        <v>-0.11314008428042395</v>
      </c>
      <c r="BF1161" s="600" t="str">
        <f>+' -'!$E$21</f>
        <v>Програмата за финансов анализ е лицензирана на:</v>
      </c>
      <c r="BG1161" s="582"/>
      <c r="BH1161" s="582"/>
    </row>
    <row r="1162" spans="39:60" ht="24.75" customHeight="1">
      <c r="AM1162" s="805">
        <v>7</v>
      </c>
      <c r="AN1162" s="789" t="s">
        <v>2327</v>
      </c>
      <c r="AO1162" s="789"/>
      <c r="AP1162" s="789"/>
      <c r="AQ1162" s="789"/>
      <c r="AR1162" s="207">
        <f>K213+K215</f>
        <v>6842</v>
      </c>
      <c r="AS1162" s="207">
        <f>L213+L215</f>
        <v>7406</v>
      </c>
      <c r="AT1162" s="207">
        <f t="shared" si="46"/>
        <v>-564</v>
      </c>
      <c r="AU1162" s="105">
        <f t="shared" si="47"/>
        <v>-0.07615446934917634</v>
      </c>
      <c r="BF1162" s="601"/>
      <c r="BG1162" s="10"/>
      <c r="BH1162" s="10"/>
    </row>
    <row r="1163" spans="39:60" ht="24.75" customHeight="1">
      <c r="AM1163" s="805">
        <v>8</v>
      </c>
      <c r="AN1163" s="789" t="s">
        <v>28</v>
      </c>
      <c r="AO1163" s="789"/>
      <c r="AP1163" s="789"/>
      <c r="AQ1163" s="789"/>
      <c r="AR1163" s="207">
        <f>$D$97</f>
        <v>12809</v>
      </c>
      <c r="AS1163" s="96">
        <f>$E$97</f>
        <v>12326</v>
      </c>
      <c r="AT1163" s="207">
        <f t="shared" si="46"/>
        <v>483</v>
      </c>
      <c r="AU1163" s="105">
        <f t="shared" si="47"/>
        <v>0.03918546162583158</v>
      </c>
      <c r="BF1163" s="600" t="str">
        <f>+' -'!$E$22</f>
        <v>"В И Н З А В О Д"  А Д - гр. АСЕНОВГРАД</v>
      </c>
      <c r="BG1163" s="581"/>
      <c r="BH1163" s="581"/>
    </row>
    <row r="1164" spans="39:47" ht="24.75" customHeight="1">
      <c r="AM1164" s="805">
        <v>9</v>
      </c>
      <c r="AN1164" s="789" t="s">
        <v>1394</v>
      </c>
      <c r="AO1164" s="789"/>
      <c r="AP1164" s="789"/>
      <c r="AQ1164" s="789"/>
      <c r="AR1164" s="207">
        <f>D96</f>
        <v>24</v>
      </c>
      <c r="AS1164" s="207">
        <f>E96</f>
        <v>21</v>
      </c>
      <c r="AT1164" s="207">
        <f t="shared" si="46"/>
        <v>3</v>
      </c>
      <c r="AU1164" s="105">
        <f t="shared" si="47"/>
        <v>0.14285714285714285</v>
      </c>
    </row>
    <row r="1165" spans="39:47" ht="24.75" customHeight="1">
      <c r="AM1165" s="805">
        <v>10</v>
      </c>
      <c r="AN1165" s="789" t="s">
        <v>2023</v>
      </c>
      <c r="AO1165" s="789"/>
      <c r="AP1165" s="789"/>
      <c r="AQ1165" s="789"/>
      <c r="AR1165" s="97">
        <f>AR1163-AR1164</f>
        <v>12785</v>
      </c>
      <c r="AS1165" s="209">
        <f>AS1163-AS1164</f>
        <v>12305</v>
      </c>
      <c r="AT1165" s="207">
        <f t="shared" si="46"/>
        <v>480</v>
      </c>
      <c r="AU1165" s="105">
        <f t="shared" si="47"/>
        <v>0.03900853311661926</v>
      </c>
    </row>
    <row r="1166" spans="39:47" ht="24.75" customHeight="1">
      <c r="AM1166" s="805">
        <v>11</v>
      </c>
      <c r="AN1166" s="789" t="s">
        <v>29</v>
      </c>
      <c r="AO1166" s="789"/>
      <c r="AP1166" s="789"/>
      <c r="AQ1166" s="789"/>
      <c r="AR1166" s="96">
        <f>$D$164</f>
        <v>760</v>
      </c>
      <c r="AS1166" s="96">
        <f>$E$164</f>
        <v>984</v>
      </c>
      <c r="AT1166" s="207">
        <f t="shared" si="46"/>
        <v>-224</v>
      </c>
      <c r="AU1166" s="105">
        <f t="shared" si="47"/>
        <v>-0.22764227642276422</v>
      </c>
    </row>
    <row r="1167" spans="39:47" ht="24.75" customHeight="1">
      <c r="AM1167" s="805">
        <v>12</v>
      </c>
      <c r="AN1167" s="789" t="s">
        <v>340</v>
      </c>
      <c r="AO1167" s="789"/>
      <c r="AP1167" s="789"/>
      <c r="AQ1167" s="789"/>
      <c r="AR1167" s="207">
        <f>$D$78</f>
        <v>5441</v>
      </c>
      <c r="AS1167" s="207">
        <f>$E$78</f>
        <v>5494</v>
      </c>
      <c r="AT1167" s="207">
        <f t="shared" si="46"/>
        <v>-53</v>
      </c>
      <c r="AU1167" s="105">
        <f t="shared" si="47"/>
        <v>-0.009646887513651257</v>
      </c>
    </row>
    <row r="1168" spans="39:47" ht="24.75" customHeight="1">
      <c r="AM1168" s="805">
        <v>13</v>
      </c>
      <c r="AN1168" s="789" t="s">
        <v>917</v>
      </c>
      <c r="AO1168" s="789"/>
      <c r="AP1168" s="789"/>
      <c r="AQ1168" s="789"/>
      <c r="AR1168" s="207">
        <f>D88</f>
        <v>0</v>
      </c>
      <c r="AS1168" s="207">
        <f>E88</f>
        <v>0</v>
      </c>
      <c r="AT1168" s="207">
        <f t="shared" si="46"/>
        <v>0</v>
      </c>
      <c r="AU1168" s="105">
        <f t="shared" si="47"/>
        <v>0</v>
      </c>
    </row>
    <row r="1169" spans="39:47" ht="24.75" customHeight="1">
      <c r="AM1169" s="805">
        <v>14</v>
      </c>
      <c r="AN1169" s="789" t="s">
        <v>564</v>
      </c>
      <c r="AO1169" s="789"/>
      <c r="AP1169" s="789"/>
      <c r="AQ1169" s="789"/>
      <c r="AR1169" s="207">
        <f>D95</f>
        <v>125</v>
      </c>
      <c r="AS1169" s="207">
        <f>E95</f>
        <v>239</v>
      </c>
      <c r="AT1169" s="207">
        <f t="shared" si="46"/>
        <v>-114</v>
      </c>
      <c r="AU1169" s="105">
        <f t="shared" si="47"/>
        <v>-0.4769874476987448</v>
      </c>
    </row>
    <row r="1170" spans="39:47" ht="24.75" customHeight="1">
      <c r="AM1170" s="794">
        <v>15</v>
      </c>
      <c r="AN1170" s="795" t="s">
        <v>566</v>
      </c>
      <c r="AO1170" s="796"/>
      <c r="AP1170" s="796"/>
      <c r="AQ1170" s="797"/>
      <c r="AR1170" s="100"/>
      <c r="AS1170" s="210"/>
      <c r="AT1170" s="211"/>
      <c r="AU1170" s="104"/>
    </row>
    <row r="1171" spans="39:47" ht="24.75" customHeight="1">
      <c r="AM1171" s="805"/>
      <c r="AN1171" s="799" t="s">
        <v>567</v>
      </c>
      <c r="AO1171" s="789"/>
      <c r="AP1171" s="789"/>
      <c r="AQ1171" s="806"/>
      <c r="AR1171" s="207">
        <f>AR499</f>
        <v>0</v>
      </c>
      <c r="AS1171" s="207">
        <f>AS499</f>
        <v>0</v>
      </c>
      <c r="AT1171" s="207">
        <f>AR1171-AS1171</f>
        <v>0</v>
      </c>
      <c r="AU1171" s="105">
        <f>IF(AND(AS1171=0,AR1171=0),0,IF(AS1171&lt;&gt;0,AT1171/ABS(AS1171),IF(AS1171=0,AT1171/ABS(AR1171),FLASE)))</f>
        <v>0</v>
      </c>
    </row>
    <row r="1172" spans="39:47" ht="24.75" customHeight="1">
      <c r="AM1172" s="805">
        <v>16</v>
      </c>
      <c r="AN1172" s="789" t="s">
        <v>2024</v>
      </c>
      <c r="AO1172" s="789"/>
      <c r="AP1172" s="789"/>
      <c r="AQ1172" s="789"/>
      <c r="AR1172" s="209">
        <f>AR1166+AR1171</f>
        <v>760</v>
      </c>
      <c r="AS1172" s="209">
        <f>AS1166+AS1171</f>
        <v>984</v>
      </c>
      <c r="AT1172" s="207">
        <f>AR1172-AS1172</f>
        <v>-224</v>
      </c>
      <c r="AU1172" s="105">
        <f>IF(AND(AS1172=0,AR1172=0),0,IF(AS1172&lt;&gt;0,AT1172/ABS(AS1172),IF(AS1172=0,AT1172/ABS(AR1172),FLASE)))</f>
        <v>-0.22764227642276422</v>
      </c>
    </row>
    <row r="1173" spans="39:47" ht="24.75" customHeight="1">
      <c r="AM1173" s="805">
        <v>17</v>
      </c>
      <c r="AN1173" s="789" t="s">
        <v>1061</v>
      </c>
      <c r="AO1173" s="789"/>
      <c r="AP1173" s="789"/>
      <c r="AQ1173" s="789"/>
      <c r="AR1173" s="207">
        <f>AR503</f>
        <v>6895.5</v>
      </c>
      <c r="AS1173" s="207">
        <f>AS503</f>
        <v>6572</v>
      </c>
      <c r="AT1173" s="207">
        <f>AR1173-AS1173</f>
        <v>323.5</v>
      </c>
      <c r="AU1173" s="105">
        <f>IF(AND(AS1173=0,AR1173=0),0,IF(AS1173&lt;&gt;0,AT1173/ABS(AS1173),IF(AS1173=0,AT1173/ABS(AR1173),FLASE)))</f>
        <v>0.04922398052343274</v>
      </c>
    </row>
    <row r="1174" spans="39:47" ht="24.75" customHeight="1">
      <c r="AM1174" s="794">
        <v>18</v>
      </c>
      <c r="AN1174" s="795" t="s">
        <v>1331</v>
      </c>
      <c r="AO1174" s="796"/>
      <c r="AP1174" s="796"/>
      <c r="AQ1174" s="797"/>
      <c r="AR1174" s="100"/>
      <c r="AS1174" s="211"/>
      <c r="AT1174" s="100"/>
      <c r="AU1174" s="101"/>
    </row>
    <row r="1175" spans="39:47" ht="24.75" customHeight="1">
      <c r="AM1175" s="805"/>
      <c r="AN1175" s="799" t="s">
        <v>195</v>
      </c>
      <c r="AO1175" s="789"/>
      <c r="AP1175" s="789"/>
      <c r="AQ1175" s="806"/>
      <c r="AR1175" s="207">
        <f>AR505</f>
        <v>1332</v>
      </c>
      <c r="AS1175" s="207">
        <f>AS505</f>
        <v>1495</v>
      </c>
      <c r="AT1175" s="207">
        <f>AR1175-AS1175</f>
        <v>-163</v>
      </c>
      <c r="AU1175" s="103">
        <f>IF(AND(AS1175=0,AR1175=0),0,IF(AS1175&lt;&gt;0,AT1175/ABS(AS1175),IF(AS1175=0,AT1175/ABS(AR1175),FLASE)))</f>
        <v>-0.10903010033444815</v>
      </c>
    </row>
    <row r="1176" spans="39:47" ht="24.75" customHeight="1">
      <c r="AM1176" s="794">
        <v>19</v>
      </c>
      <c r="AN1176" s="795" t="s">
        <v>1013</v>
      </c>
      <c r="AO1176" s="796"/>
      <c r="AP1176" s="796"/>
      <c r="AQ1176" s="797"/>
      <c r="AR1176" s="100"/>
      <c r="AS1176" s="211"/>
      <c r="AT1176" s="100"/>
      <c r="AU1176" s="101"/>
    </row>
    <row r="1177" spans="39:47" ht="24.75" customHeight="1">
      <c r="AM1177" s="805"/>
      <c r="AN1177" s="799" t="s">
        <v>1017</v>
      </c>
      <c r="AO1177" s="789"/>
      <c r="AP1177" s="789"/>
      <c r="AQ1177" s="806"/>
      <c r="AR1177" s="207">
        <f>AR507</f>
        <v>465</v>
      </c>
      <c r="AS1177" s="207">
        <f>AS507</f>
        <v>523</v>
      </c>
      <c r="AT1177" s="207">
        <f>AR1177-AS1177</f>
        <v>-58</v>
      </c>
      <c r="AU1177" s="103">
        <f>IF(AND(AS1177=0,AR1177=0),0,IF(AS1177&lt;&gt;0,AT1177/ABS(AS1177),IF(AS1177=0,AT1177/ABS(AR1177),FLASE)))</f>
        <v>-0.11089866156787763</v>
      </c>
    </row>
    <row r="1178" spans="39:47" ht="24.75" customHeight="1">
      <c r="AM1178" s="805">
        <v>20</v>
      </c>
      <c r="AN1178" s="789" t="s">
        <v>1014</v>
      </c>
      <c r="AO1178" s="789"/>
      <c r="AP1178" s="789"/>
      <c r="AQ1178" s="789"/>
      <c r="AR1178" s="207">
        <f>AR500</f>
        <v>0</v>
      </c>
      <c r="AS1178" s="207">
        <f>AS500</f>
        <v>0</v>
      </c>
      <c r="AT1178" s="207">
        <f>AR1178-AS1178</f>
        <v>0</v>
      </c>
      <c r="AU1178" s="105">
        <f>IF(AND(AS1178=0,AR1178=0),0,IF(AS1178&lt;&gt;0,AT1178/ABS(AS1178),IF(AS1178=0,AT1178/ABS(AR1178),FLASE)))</f>
        <v>0</v>
      </c>
    </row>
    <row r="1179" spans="39:47" ht="24.75" customHeight="1" thickBot="1">
      <c r="AM1179" s="919">
        <v>21</v>
      </c>
      <c r="AN1179" s="814" t="s">
        <v>1015</v>
      </c>
      <c r="AO1179" s="814"/>
      <c r="AP1179" s="814"/>
      <c r="AQ1179" s="814"/>
      <c r="AR1179" s="1025">
        <f>AR509</f>
        <v>360</v>
      </c>
      <c r="AS1179" s="1025">
        <f>AS509</f>
        <v>360</v>
      </c>
      <c r="AT1179" s="212">
        <f>AR1179-AS1179</f>
        <v>0</v>
      </c>
      <c r="AU1179" s="118">
        <f>IF(AND(AS1179=0,AR1179=0),0,IF(AS1179&lt;&gt;0,AT1179/ABS(AS1179),IF(AS1179=0,AT1179/ABS(AR1179),FLASE)))</f>
        <v>0</v>
      </c>
    </row>
    <row r="1180" spans="39:48" ht="8.25" customHeight="1">
      <c r="AM1180" s="871"/>
      <c r="AN1180" s="871"/>
      <c r="AO1180" s="871"/>
      <c r="AP1180" s="871"/>
      <c r="AQ1180" s="871"/>
      <c r="AR1180" s="871"/>
      <c r="AS1180" s="871"/>
      <c r="AT1180" s="871"/>
      <c r="AU1180" s="871"/>
      <c r="AV1180" s="62">
        <f>+' -'!$B$11</f>
      </c>
    </row>
    <row r="1181" spans="39:47" ht="22.5" customHeight="1" thickBot="1">
      <c r="AM1181" s="1016" t="s">
        <v>793</v>
      </c>
      <c r="AN1181" s="1017"/>
      <c r="AO1181" s="1017"/>
      <c r="AP1181" s="1017"/>
      <c r="AQ1181" s="1017"/>
      <c r="AR1181" s="1017"/>
      <c r="AS1181" s="1017"/>
      <c r="AT1181" s="214"/>
      <c r="AU1181" s="214"/>
    </row>
    <row r="1182" spans="39:47" ht="22.5" customHeight="1">
      <c r="AM1182" s="872"/>
      <c r="AN1182" s="940"/>
      <c r="AO1182" s="941"/>
      <c r="AP1182" s="941"/>
      <c r="AQ1182" s="941"/>
      <c r="AR1182" s="1019" t="str">
        <f>$D$7</f>
        <v>Текуща</v>
      </c>
      <c r="AS1182" s="1020" t="str">
        <f>$E$7</f>
        <v>Предходна</v>
      </c>
      <c r="AT1182" s="831" t="s">
        <v>1611</v>
      </c>
      <c r="AU1182" s="832"/>
    </row>
    <row r="1183" spans="39:47" ht="22.5" customHeight="1">
      <c r="AM1183" s="877" t="s">
        <v>1612</v>
      </c>
      <c r="AN1183" s="927" t="s">
        <v>1613</v>
      </c>
      <c r="AO1183" s="879"/>
      <c r="AP1183" s="879"/>
      <c r="AQ1183" s="879"/>
      <c r="AR1183" s="1021" t="str">
        <f>$D$8</f>
        <v>година</v>
      </c>
      <c r="AS1183" s="1022" t="str">
        <f>$E$8</f>
        <v>година</v>
      </c>
      <c r="AT1183" s="1023"/>
      <c r="AU1183" s="1024"/>
    </row>
    <row r="1184" spans="39:47" ht="22.5" customHeight="1" thickBot="1">
      <c r="AM1184" s="882"/>
      <c r="AN1184" s="942"/>
      <c r="AO1184" s="943"/>
      <c r="AP1184" s="943"/>
      <c r="AQ1184" s="943"/>
      <c r="AR1184" s="954" t="s">
        <v>1614</v>
      </c>
      <c r="AS1184" s="834" t="s">
        <v>1614</v>
      </c>
      <c r="AT1184" s="944" t="s">
        <v>1614</v>
      </c>
      <c r="AU1184" s="945" t="s">
        <v>1615</v>
      </c>
    </row>
    <row r="1185" spans="39:47" ht="22.5" customHeight="1">
      <c r="AM1185" s="1026"/>
      <c r="AN1185" s="1027" t="s">
        <v>196</v>
      </c>
      <c r="AO1185" s="865"/>
      <c r="AP1185" s="865"/>
      <c r="AQ1185" s="865"/>
      <c r="AR1185" s="209"/>
      <c r="AS1185" s="97"/>
      <c r="AT1185" s="97"/>
      <c r="AU1185" s="1028"/>
    </row>
    <row r="1186" spans="39:47" ht="22.5" customHeight="1">
      <c r="AM1186" s="1029">
        <v>24</v>
      </c>
      <c r="AN1186" s="110" t="s">
        <v>197</v>
      </c>
      <c r="AO1186" s="110"/>
      <c r="AP1186" s="110"/>
      <c r="AQ1186" s="110"/>
      <c r="AR1186" s="100"/>
      <c r="AS1186" s="100"/>
      <c r="AT1186" s="100"/>
      <c r="AU1186" s="104"/>
    </row>
    <row r="1187" spans="39:47" ht="22.5" customHeight="1">
      <c r="AM1187" s="798"/>
      <c r="AN1187" s="789" t="s">
        <v>198</v>
      </c>
      <c r="AO1187" s="789"/>
      <c r="AP1187" s="789"/>
      <c r="AQ1187" s="789"/>
      <c r="AR1187" s="1001">
        <f>+AR1156/AR1157</f>
        <v>0.015400717703349283</v>
      </c>
      <c r="AS1187" s="1001">
        <f>+AS1156/AS1157</f>
        <v>0.05660628662759723</v>
      </c>
      <c r="AT1187" s="1001">
        <f>AR1187-AS1187</f>
        <v>-0.04120556892424795</v>
      </c>
      <c r="AU1187" s="105">
        <f>IF(AND(AS1187=0,AR1187=0),0,IF(AS1187&lt;&gt;0,AT1187/ABS(AS1187),IF(AS1187=0,AT1187/ABS(AR1187),FLASE)))</f>
        <v>-0.7279327329017732</v>
      </c>
    </row>
    <row r="1188" spans="39:47" ht="22.5" customHeight="1">
      <c r="AM1188" s="811">
        <v>25</v>
      </c>
      <c r="AN1188" s="110" t="s">
        <v>200</v>
      </c>
      <c r="AO1188" s="110"/>
      <c r="AP1188" s="110"/>
      <c r="AQ1188" s="110"/>
      <c r="AR1188" s="100"/>
      <c r="AS1188" s="374"/>
      <c r="AT1188" s="374"/>
      <c r="AU1188" s="104"/>
    </row>
    <row r="1189" spans="39:47" ht="22.5" customHeight="1">
      <c r="AM1189" s="798"/>
      <c r="AN1189" s="789" t="s">
        <v>323</v>
      </c>
      <c r="AO1189" s="789"/>
      <c r="AP1189" s="789"/>
      <c r="AQ1189" s="789"/>
      <c r="AR1189" s="1001">
        <f>IF(AND(AR1156&lt;0,AR1158&lt;0),AR1156/AR1158*(-1),AR1156/AR1158)</f>
        <v>0.007442196531791907</v>
      </c>
      <c r="AS1189" s="1001">
        <f>IF(AND(AS1156&lt;0,AS1158&lt;0),AS1156/AS1158*(-1),AS1156/AS1158)</f>
        <v>0.03090459569517161</v>
      </c>
      <c r="AT1189" s="1001">
        <f>AR1189-AS1189</f>
        <v>-0.023462399163379704</v>
      </c>
      <c r="AU1189" s="105">
        <f>IF(AND(AS1189=0,AR1189=0),0,IF(AS1189&lt;&gt;0,AT1189/ABS(AS1189),IF(AS1189=0,AT1189/ABS(AR1189),FLASE)))</f>
        <v>-0.759188031281877</v>
      </c>
    </row>
    <row r="1190" spans="39:47" ht="22.5" customHeight="1">
      <c r="AM1190" s="1030">
        <v>26</v>
      </c>
      <c r="AN1190" s="791" t="s">
        <v>324</v>
      </c>
      <c r="AO1190" s="792"/>
      <c r="AP1190" s="792"/>
      <c r="AQ1190" s="793"/>
      <c r="AR1190" s="1001">
        <f>+AR1156/AR1159</f>
        <v>0.013465812524513008</v>
      </c>
      <c r="AS1190" s="1001">
        <f>+AS1156/AS1159</f>
        <v>0.07637017070979335</v>
      </c>
      <c r="AT1190" s="1001">
        <f>AR1190-AS1190</f>
        <v>-0.06290435818528034</v>
      </c>
      <c r="AU1190" s="105">
        <f>IF(AND(AS1190=0,AR1190=0),0,IF(AS1190&lt;&gt;0,AT1190/ABS(AS1190),IF(AS1190=0,AT1190/ABS(AR1190),FLASE)))</f>
        <v>-0.8236770665907884</v>
      </c>
    </row>
    <row r="1191" spans="39:47" ht="22.5" customHeight="1">
      <c r="AM1191" s="798">
        <v>27</v>
      </c>
      <c r="AN1191" s="789" t="s">
        <v>2025</v>
      </c>
      <c r="AO1191" s="789"/>
      <c r="AP1191" s="789"/>
      <c r="AQ1191" s="789"/>
      <c r="AR1191" s="1031">
        <f>+AR1156/AR1160</f>
        <v>0.0047931499837125975</v>
      </c>
      <c r="AS1191" s="1001">
        <f>+AS1156/AS1160</f>
        <v>0.02200134596469431</v>
      </c>
      <c r="AT1191" s="1001">
        <f>AR1191-AS1191</f>
        <v>-0.01720819598098171</v>
      </c>
      <c r="AU1191" s="105">
        <f>IF(AND(AS1191=0,AR1191=0),0,IF(AS1191&lt;&gt;0,AT1191/ABS(AS1191),IF(AS1191=0,AT1191/ABS(AR1191),FLASE)))</f>
        <v>-0.7821428747402912</v>
      </c>
    </row>
    <row r="1192" spans="39:47" ht="22.5" customHeight="1">
      <c r="AM1192" s="1030"/>
      <c r="AN1192" s="1027" t="s">
        <v>325</v>
      </c>
      <c r="AO1192" s="865"/>
      <c r="AP1192" s="865"/>
      <c r="AQ1192" s="865"/>
      <c r="AR1192" s="97"/>
      <c r="AS1192" s="97"/>
      <c r="AT1192" s="789"/>
      <c r="AU1192" s="1032"/>
    </row>
    <row r="1193" spans="39:47" ht="22.5" customHeight="1">
      <c r="AM1193" s="1030">
        <v>28</v>
      </c>
      <c r="AN1193" s="791" t="s">
        <v>2026</v>
      </c>
      <c r="AO1193" s="792"/>
      <c r="AP1193" s="792"/>
      <c r="AQ1193" s="793"/>
      <c r="AR1193" s="1033">
        <f>+AR1161/AR1162</f>
        <v>1.0150540777550423</v>
      </c>
      <c r="AS1193" s="1001">
        <f>+AS1161/AS1162</f>
        <v>1.057385903321631</v>
      </c>
      <c r="AT1193" s="1001">
        <f>AR1193-AS1193</f>
        <v>-0.042331825566588765</v>
      </c>
      <c r="AU1193" s="105">
        <f>IF(AND(AS1193=0,AR1193=0),0,IF(AS1193&lt;&gt;0,AT1193/ABS(AS1193),IF(AS1193=0,AT1193/ABS(AR1193),FLASE)))</f>
        <v>-0.040034414525112555</v>
      </c>
    </row>
    <row r="1194" spans="39:47" ht="22.5" customHeight="1">
      <c r="AM1194" s="1030">
        <v>29</v>
      </c>
      <c r="AN1194" s="791" t="s">
        <v>2027</v>
      </c>
      <c r="AO1194" s="792"/>
      <c r="AP1194" s="792"/>
      <c r="AQ1194" s="793"/>
      <c r="AR1194" s="1033">
        <f>+AR1162/AR1161</f>
        <v>0.9851691864650828</v>
      </c>
      <c r="AS1194" s="1001">
        <f>+AS1162/AS1161</f>
        <v>0.9457285148767718</v>
      </c>
      <c r="AT1194" s="1001">
        <f>AR1194-AS1194</f>
        <v>0.039440671588310994</v>
      </c>
      <c r="AU1194" s="105">
        <f>IF(AND(AS1194=0,AR1194=0),0,IF(AS1194&lt;&gt;0,AT1194/ABS(AS1194),IF(AS1194=0,AT1194/ABS(AR1194),FLASE)))</f>
        <v>0.04170401015501801</v>
      </c>
    </row>
    <row r="1195" spans="39:47" ht="22.5" customHeight="1">
      <c r="AM1195" s="1030"/>
      <c r="AN1195" s="1027" t="s">
        <v>2418</v>
      </c>
      <c r="AO1195" s="865"/>
      <c r="AP1195" s="865"/>
      <c r="AQ1195" s="865"/>
      <c r="AR1195" s="97"/>
      <c r="AS1195" s="97"/>
      <c r="AT1195" s="789"/>
      <c r="AU1195" s="1032"/>
    </row>
    <row r="1196" spans="39:47" ht="22.5" customHeight="1">
      <c r="AM1196" s="1030">
        <v>30</v>
      </c>
      <c r="AN1196" s="789" t="s">
        <v>2028</v>
      </c>
      <c r="AO1196" s="789"/>
      <c r="AP1196" s="789"/>
      <c r="AQ1196" s="789"/>
      <c r="AR1196" s="1031">
        <f>IF(AR1166=0,1,AR1165/AR1166)</f>
        <v>16.82236842105263</v>
      </c>
      <c r="AS1196" s="1031">
        <f>IF(AS1166=0,1,AS1165/AS1166)</f>
        <v>12.505081300813009</v>
      </c>
      <c r="AT1196" s="1031">
        <f>AR1196-AS1196</f>
        <v>4.317287120239621</v>
      </c>
      <c r="AU1196" s="105">
        <f>IF(AND(AS1196=0,AR1196=0),0,IF(AS1196&lt;&gt;0,AT1196/ABS(AS1196),IF(AS1196=0,AT1196/ABS(AR1196),FLASE)))</f>
        <v>0.34524262708783315</v>
      </c>
    </row>
    <row r="1197" spans="39:47" ht="22.5" customHeight="1">
      <c r="AM1197" s="798">
        <v>31</v>
      </c>
      <c r="AN1197" s="789" t="s">
        <v>2029</v>
      </c>
      <c r="AO1197" s="789"/>
      <c r="AP1197" s="789"/>
      <c r="AQ1197" s="789"/>
      <c r="AR1197" s="1001">
        <f>IF(AR1166=0,1,(AR1167+AR1168+AR1169)/AR1166)</f>
        <v>7.323684210526316</v>
      </c>
      <c r="AS1197" s="1001">
        <f>IF(AS1166=0,1,(AS1167+AS1168+AS1169)/AS1166)</f>
        <v>5.826219512195122</v>
      </c>
      <c r="AT1197" s="1001">
        <f>AR1197-AS1197</f>
        <v>1.4974646983311937</v>
      </c>
      <c r="AU1197" s="105">
        <f>IF(AND(AS1197=0,AR1197=0),0,IF(AS1197&lt;&gt;0,AT1197/ABS(AS1197),IF(AS1197=0,AT1197/ABS(AR1197),FLASE)))</f>
        <v>0.2570216750667878</v>
      </c>
    </row>
    <row r="1198" spans="39:47" ht="22.5" customHeight="1">
      <c r="AM1198" s="798">
        <v>32</v>
      </c>
      <c r="AN1198" s="789" t="s">
        <v>2030</v>
      </c>
      <c r="AO1198" s="789"/>
      <c r="AP1198" s="789"/>
      <c r="AQ1198" s="789"/>
      <c r="AR1198" s="1001">
        <f>IF(AR1172=0,1,(AR1168+AR1169)/AR1172)</f>
        <v>0.16447368421052633</v>
      </c>
      <c r="AS1198" s="1001">
        <f>IF(AS1172=0,1,(AS1168+AS1169)/AS1172)</f>
        <v>0.24288617886178862</v>
      </c>
      <c r="AT1198" s="1001">
        <f>AR1198-AS1198</f>
        <v>-0.0784124946512623</v>
      </c>
      <c r="AU1198" s="105">
        <f>IF(AND(AS1198=0,AR1198=0),0,IF(AS1198&lt;&gt;0,AT1198/ABS(AS1198),IF(AS1198=0,AT1198/ABS(AR1198),FLASE)))</f>
        <v>-0.32283637965205897</v>
      </c>
    </row>
    <row r="1199" spans="39:47" ht="22.5" customHeight="1">
      <c r="AM1199" s="798">
        <v>33</v>
      </c>
      <c r="AN1199" s="789" t="s">
        <v>2031</v>
      </c>
      <c r="AO1199" s="789"/>
      <c r="AP1199" s="789"/>
      <c r="AQ1199" s="789"/>
      <c r="AR1199" s="1001">
        <f>IF(AR1172=0,1,AR1169/AR1172)</f>
        <v>0.16447368421052633</v>
      </c>
      <c r="AS1199" s="1001">
        <f>IF(AS1172=0,1,AS1169/AS1172)</f>
        <v>0.24288617886178862</v>
      </c>
      <c r="AT1199" s="1001">
        <f>AR1199-AS1199</f>
        <v>-0.0784124946512623</v>
      </c>
      <c r="AU1199" s="105">
        <f>IF(AND(AS1199=0,AR1199=0),0,IF(AS1199&lt;&gt;0,AT1199/ABS(AS1199),IF(AS1199=0,AT1199/ABS(AR1199),FLASE)))</f>
        <v>-0.32283637965205897</v>
      </c>
    </row>
    <row r="1200" spans="39:47" ht="22.5" customHeight="1">
      <c r="AM1200" s="1030"/>
      <c r="AN1200" s="1027" t="s">
        <v>2419</v>
      </c>
      <c r="AO1200" s="865"/>
      <c r="AP1200" s="865"/>
      <c r="AQ1200" s="865"/>
      <c r="AR1200" s="97"/>
      <c r="AS1200" s="97"/>
      <c r="AT1200" s="789"/>
      <c r="AU1200" s="1032"/>
    </row>
    <row r="1201" spans="39:47" ht="22.5" customHeight="1">
      <c r="AM1201" s="1030">
        <v>34</v>
      </c>
      <c r="AN1201" s="789" t="s">
        <v>2420</v>
      </c>
      <c r="AO1201" s="789"/>
      <c r="AP1201" s="789"/>
      <c r="AQ1201" s="789"/>
      <c r="AR1201" s="1031">
        <f>+AR1158/AR1159</f>
        <v>1.809386847953981</v>
      </c>
      <c r="AS1201" s="1031">
        <f>+AS1158/AS1159</f>
        <v>2.4711590296495958</v>
      </c>
      <c r="AT1201" s="1001">
        <f>AR1201-AS1201</f>
        <v>-0.6617721816956148</v>
      </c>
      <c r="AU1201" s="105">
        <f>IF(AND(AS1201=0,AR1201=0),0,IF(AS1201&lt;&gt;0,AT1201/ABS(AS1201),IF(AS1201=0,AT1201/ABS(AR1201),FLASE)))</f>
        <v>-0.2677982977847656</v>
      </c>
    </row>
    <row r="1202" spans="39:47" ht="22.5" customHeight="1">
      <c r="AM1202" s="798">
        <v>35</v>
      </c>
      <c r="AN1202" s="789" t="s">
        <v>2421</v>
      </c>
      <c r="AO1202" s="789"/>
      <c r="AP1202" s="789"/>
      <c r="AQ1202" s="789"/>
      <c r="AR1202" s="1001">
        <f>+AR1159/AR1158</f>
        <v>0.5526734104046243</v>
      </c>
      <c r="AS1202" s="1001">
        <f>+AS1159/AS1158</f>
        <v>0.40466841186736474</v>
      </c>
      <c r="AT1202" s="1001">
        <f>AR1202-AS1202</f>
        <v>0.1480049985372595</v>
      </c>
      <c r="AU1202" s="105">
        <f>IF(AND(AS1202=0,AR1202=0),0,IF(AS1202&lt;&gt;0,AT1202/ABS(AS1202),IF(AS1202=0,AT1202/ABS(AR1202),FLASE)))</f>
        <v>0.36574388856862405</v>
      </c>
    </row>
    <row r="1203" spans="39:47" ht="22.5" customHeight="1">
      <c r="AM1203" s="1030"/>
      <c r="AN1203" s="1034" t="s">
        <v>2422</v>
      </c>
      <c r="AO1203" s="865"/>
      <c r="AP1203" s="865"/>
      <c r="AQ1203" s="865"/>
      <c r="AR1203" s="97"/>
      <c r="AS1203" s="1035"/>
      <c r="AT1203" s="789"/>
      <c r="AU1203" s="1032"/>
    </row>
    <row r="1204" spans="39:47" ht="22.5" customHeight="1">
      <c r="AM1204" s="1029">
        <v>36</v>
      </c>
      <c r="AN1204" s="110" t="s">
        <v>2423</v>
      </c>
      <c r="AO1204" s="110"/>
      <c r="AP1204" s="110"/>
      <c r="AQ1204" s="110"/>
      <c r="AR1204" s="100"/>
      <c r="AS1204" s="100"/>
      <c r="AT1204" s="100"/>
      <c r="AU1204" s="104"/>
    </row>
    <row r="1205" spans="39:47" ht="22.5" customHeight="1">
      <c r="AM1205" s="798"/>
      <c r="AN1205" s="789" t="s">
        <v>2032</v>
      </c>
      <c r="AO1205" s="789"/>
      <c r="AP1205" s="789"/>
      <c r="AQ1205" s="789"/>
      <c r="AR1205" s="911">
        <f>+AR1173*AR1179/AR1157</f>
        <v>371.16925837320576</v>
      </c>
      <c r="AS1205" s="911">
        <f>+AS1173*AS1179/AS1157</f>
        <v>315.11987213638787</v>
      </c>
      <c r="AT1205" s="911">
        <f>AR1205-AS1205</f>
        <v>56.049386236817895</v>
      </c>
      <c r="AU1205" s="105">
        <f>IF(AND(AS1205=0,AR1205=0),0,IF(AS1205&lt;&gt;0,AT1205/ABS(AS1205),IF(AS1205=0,AT1205/ABS(AR1205),FLASE)))</f>
        <v>0.1778668728722986</v>
      </c>
    </row>
    <row r="1206" spans="39:47" ht="22.5" customHeight="1">
      <c r="AM1206" s="798">
        <v>37</v>
      </c>
      <c r="AN1206" s="789" t="s">
        <v>2033</v>
      </c>
      <c r="AO1206" s="789"/>
      <c r="AP1206" s="789"/>
      <c r="AQ1206" s="789"/>
      <c r="AR1206" s="1036">
        <f>+AR1157/AR1173</f>
        <v>0.9699079109564208</v>
      </c>
      <c r="AS1206" s="911">
        <f>+AS1157/AS1173</f>
        <v>1.1424223980523434</v>
      </c>
      <c r="AT1206" s="911">
        <f>AR1206-AS1206</f>
        <v>-0.17251448709592254</v>
      </c>
      <c r="AU1206" s="105">
        <f>IF(AND(AS1206=0,AR1206=0),0,IF(AS1206&lt;&gt;0,AT1206/ABS(AS1206),IF(AS1206=0,AT1206/ABS(AR1206),FLASE)))</f>
        <v>-0.1510076197648379</v>
      </c>
    </row>
    <row r="1207" spans="39:47" ht="22.5" customHeight="1">
      <c r="AM1207" s="798">
        <v>38</v>
      </c>
      <c r="AN1207" s="999" t="s">
        <v>2034</v>
      </c>
      <c r="AO1207" s="789"/>
      <c r="AP1207" s="789"/>
      <c r="AQ1207" s="789"/>
      <c r="AR1207" s="1031">
        <f>+AR1173/AR1157</f>
        <v>1.0310257177033493</v>
      </c>
      <c r="AS1207" s="1001">
        <f>+AS1173/AS1157</f>
        <v>0.8753329781566329</v>
      </c>
      <c r="AT1207" s="1001">
        <f>AR1207-AS1207</f>
        <v>0.15569273954671636</v>
      </c>
      <c r="AU1207" s="105">
        <f>IF(AND(AS1207=0,AR1207=0),0,IF(AS1207&lt;&gt;0,AT1207/ABS(AS1207),IF(AS1207=0,AT1207/ABS(AR1207),FLASE)))</f>
        <v>0.1778668728722986</v>
      </c>
    </row>
    <row r="1208" spans="39:47" ht="22.5" customHeight="1">
      <c r="AM1208" s="1030"/>
      <c r="AN1208" s="1034" t="s">
        <v>2424</v>
      </c>
      <c r="AO1208" s="865"/>
      <c r="AP1208" s="865"/>
      <c r="AQ1208" s="865"/>
      <c r="AR1208" s="97"/>
      <c r="AS1208" s="97"/>
      <c r="AT1208" s="789"/>
      <c r="AU1208" s="1032"/>
    </row>
    <row r="1209" spans="39:47" ht="22.5" customHeight="1">
      <c r="AM1209" s="1029">
        <v>39</v>
      </c>
      <c r="AN1209" s="110" t="s">
        <v>788</v>
      </c>
      <c r="AO1209" s="110"/>
      <c r="AP1209" s="110"/>
      <c r="AQ1209" s="110"/>
      <c r="AR1209" s="100"/>
      <c r="AS1209" s="100"/>
      <c r="AT1209" s="100"/>
      <c r="AU1209" s="104"/>
    </row>
    <row r="1210" spans="39:47" ht="22.5" customHeight="1">
      <c r="AM1210" s="798"/>
      <c r="AN1210" s="789" t="s">
        <v>2035</v>
      </c>
      <c r="AO1210" s="789"/>
      <c r="AP1210" s="789"/>
      <c r="AQ1210" s="789"/>
      <c r="AR1210" s="911">
        <f>+AR1175*AR1179/AR1157</f>
        <v>71.69856459330144</v>
      </c>
      <c r="AS1210" s="911">
        <f>+AS1175*AS1179/AS1157</f>
        <v>71.68353755993607</v>
      </c>
      <c r="AT1210" s="911">
        <f>AR1210-AS1210</f>
        <v>0.015027033365370812</v>
      </c>
      <c r="AU1210" s="105">
        <f>IF(AND(AS1210=0,AR1210=0),0,IF(AS1210&lt;&gt;0,AT1210/ABS(AS1210),IF(AS1210=0,AT1210/ABS(AR1210),FLASE)))</f>
        <v>0.00020963018674694176</v>
      </c>
    </row>
    <row r="1211" spans="39:47" ht="22.5" customHeight="1">
      <c r="AM1211" s="811">
        <v>40</v>
      </c>
      <c r="AN1211" s="110" t="s">
        <v>789</v>
      </c>
      <c r="AO1211" s="110"/>
      <c r="AP1211" s="110"/>
      <c r="AQ1211" s="110"/>
      <c r="AR1211" s="100"/>
      <c r="AS1211" s="374"/>
      <c r="AT1211" s="374"/>
      <c r="AU1211" s="104"/>
    </row>
    <row r="1212" spans="39:47" ht="22.5" customHeight="1" thickBot="1">
      <c r="AM1212" s="812"/>
      <c r="AN1212" s="814" t="s">
        <v>2036</v>
      </c>
      <c r="AO1212" s="814"/>
      <c r="AP1212" s="814"/>
      <c r="AQ1212" s="814"/>
      <c r="AR1212" s="1037">
        <f>IF(AR1178=0,0,+AR1177*AR1179/AR1178)</f>
        <v>0</v>
      </c>
      <c r="AS1212" s="1037">
        <f>IF(AS1178=0,0,+AS1177*AS1179/AS1178)</f>
        <v>0</v>
      </c>
      <c r="AT1212" s="1037">
        <f>AR1212-AS1212</f>
        <v>0</v>
      </c>
      <c r="AU1212" s="118">
        <f>IF(AND(AS1212=0,AR1212=0),0,IF(AS1212&lt;&gt;0,AT1212/ABS(AS1212),IF(AS1212=0,AT1212/ABS(AR1212),FLASE)))</f>
        <v>0</v>
      </c>
    </row>
    <row r="1213" spans="39:48" ht="7.5" customHeight="1">
      <c r="AM1213" s="871"/>
      <c r="AN1213" s="871"/>
      <c r="AO1213" s="871"/>
      <c r="AP1213" s="871"/>
      <c r="AQ1213" s="871"/>
      <c r="AR1213" s="1038"/>
      <c r="AS1213" s="1038"/>
      <c r="AT1213" s="1039"/>
      <c r="AU1213" s="903"/>
      <c r="AV1213" s="62">
        <f>+' -'!$B$11</f>
      </c>
    </row>
    <row r="1214" spans="39:47" ht="20.25" customHeight="1" thickBot="1">
      <c r="AM1214" s="1016" t="s">
        <v>1329</v>
      </c>
      <c r="AN1214" s="214"/>
      <c r="AO1214" s="214"/>
      <c r="AP1214" s="214"/>
      <c r="AQ1214" s="214"/>
      <c r="AR1214" s="1040"/>
      <c r="AS1214" s="1040"/>
      <c r="AT1214" s="225"/>
      <c r="AU1214" s="1041"/>
    </row>
    <row r="1215" spans="39:60" ht="20.25" customHeight="1">
      <c r="AM1215" s="1042"/>
      <c r="AN1215" s="1043" t="s">
        <v>1358</v>
      </c>
      <c r="AO1215" s="941"/>
      <c r="AP1215" s="941"/>
      <c r="AQ1215" s="941"/>
      <c r="AR1215" s="1044"/>
      <c r="AS1215" s="1044"/>
      <c r="AT1215" s="940" t="s">
        <v>1359</v>
      </c>
      <c r="AU1215" s="1045"/>
      <c r="BF1215" s="600" t="str">
        <f>+' -'!$E$21</f>
        <v>Програмата за финансов анализ е лицензирана на:</v>
      </c>
      <c r="BG1215" s="582"/>
      <c r="BH1215" s="582"/>
    </row>
    <row r="1216" spans="39:60" ht="20.25" customHeight="1">
      <c r="AM1216" s="951" t="s">
        <v>1612</v>
      </c>
      <c r="AN1216" s="1046" t="s">
        <v>1360</v>
      </c>
      <c r="AO1216" s="879"/>
      <c r="AP1216" s="879"/>
      <c r="AQ1216" s="879"/>
      <c r="AR1216" s="1047"/>
      <c r="AS1216" s="1047"/>
      <c r="AT1216" s="1048" t="s">
        <v>1361</v>
      </c>
      <c r="AU1216" s="1049"/>
      <c r="BF1216" s="601"/>
      <c r="BG1216" s="10"/>
      <c r="BH1216" s="10"/>
    </row>
    <row r="1217" spans="39:60" ht="20.25" customHeight="1" thickBot="1">
      <c r="AM1217" s="952"/>
      <c r="AN1217" s="1050" t="s">
        <v>1362</v>
      </c>
      <c r="AO1217" s="943"/>
      <c r="AP1217" s="943"/>
      <c r="AQ1217" s="943"/>
      <c r="AR1217" s="1051"/>
      <c r="AS1217" s="1051"/>
      <c r="AT1217" s="1052" t="s">
        <v>1614</v>
      </c>
      <c r="AU1217" s="1053" t="s">
        <v>1615</v>
      </c>
      <c r="BF1217" s="600" t="str">
        <f>+' -'!$E$22</f>
        <v>"В И Н З А В О Д"  А Д - гр. АСЕНОВГРАД</v>
      </c>
      <c r="BG1217" s="581"/>
      <c r="BH1217" s="581"/>
    </row>
    <row r="1218" spans="39:47" ht="20.25" customHeight="1">
      <c r="AM1218" s="807">
        <v>1</v>
      </c>
      <c r="AN1218" s="1054" t="s">
        <v>1500</v>
      </c>
      <c r="AO1218" s="789"/>
      <c r="AP1218" s="789"/>
      <c r="AQ1218" s="789"/>
      <c r="AR1218" s="1033"/>
      <c r="AS1218" s="1033"/>
      <c r="AT1218" s="1055">
        <f>+AT1187</f>
        <v>-0.04120556892424795</v>
      </c>
      <c r="AU1218" s="1056">
        <f>+AU1187</f>
        <v>-0.7279327329017732</v>
      </c>
    </row>
    <row r="1219" spans="39:47" ht="20.25" customHeight="1">
      <c r="AM1219" s="1057" t="s">
        <v>559</v>
      </c>
      <c r="AN1219" s="1058" t="str">
        <f>IF(AT1157&gt;0,"От увеличаване на","От намаляване  на")</f>
        <v>От намаляване  на</v>
      </c>
      <c r="AO1219" s="215"/>
      <c r="AP1219" s="110" t="s">
        <v>1501</v>
      </c>
      <c r="AQ1219" s="110"/>
      <c r="AR1219" s="110"/>
      <c r="AS1219" s="110"/>
      <c r="AT1219" s="1059"/>
      <c r="AU1219" s="1060"/>
    </row>
    <row r="1220" spans="39:47" ht="20.25" customHeight="1">
      <c r="AM1220" s="844"/>
      <c r="AN1220" s="799" t="s">
        <v>1225</v>
      </c>
      <c r="AO1220" s="789"/>
      <c r="AP1220" s="789"/>
      <c r="AQ1220" s="789"/>
      <c r="AR1220" s="789"/>
      <c r="AS1220" s="789"/>
      <c r="AT1220" s="1055">
        <f>+AS1156/AR1157-AS1187</f>
        <v>0.006940364090106121</v>
      </c>
      <c r="AU1220" s="1056">
        <f>+AT1220/AS1187</f>
        <v>0.12260765550239237</v>
      </c>
    </row>
    <row r="1221" spans="39:47" ht="20.25" customHeight="1">
      <c r="AM1221" s="1057" t="s">
        <v>560</v>
      </c>
      <c r="AN1221" s="1058" t="str">
        <f>IF(AT1156&gt;0,"От увеличаване на","От намаляване  на")</f>
        <v>От намаляване  на</v>
      </c>
      <c r="AO1221" s="215"/>
      <c r="AP1221" s="110" t="s">
        <v>1502</v>
      </c>
      <c r="AQ1221" s="110"/>
      <c r="AR1221" s="110"/>
      <c r="AS1221" s="110"/>
      <c r="AT1221" s="1059"/>
      <c r="AU1221" s="1060"/>
    </row>
    <row r="1222" spans="39:47" ht="20.25" customHeight="1">
      <c r="AM1222" s="844"/>
      <c r="AN1222" s="799" t="s">
        <v>1503</v>
      </c>
      <c r="AO1222" s="789"/>
      <c r="AP1222" s="789"/>
      <c r="AQ1222" s="789"/>
      <c r="AR1222" s="789"/>
      <c r="AS1222" s="789"/>
      <c r="AT1222" s="1055">
        <f>+AR1187-AS1156/AR1157</f>
        <v>-0.04814593301435407</v>
      </c>
      <c r="AU1222" s="1056">
        <f>+AT1222/AS1187</f>
        <v>-0.8505403884041656</v>
      </c>
    </row>
    <row r="1223" spans="39:47" ht="20.25" customHeight="1">
      <c r="AM1223" s="807">
        <v>2</v>
      </c>
      <c r="AN1223" s="1054" t="s">
        <v>266</v>
      </c>
      <c r="AO1223" s="789"/>
      <c r="AP1223" s="789"/>
      <c r="AQ1223" s="789"/>
      <c r="AR1223" s="789"/>
      <c r="AS1223" s="789"/>
      <c r="AT1223" s="1055">
        <f>+AT1189</f>
        <v>-0.023462399163379704</v>
      </c>
      <c r="AU1223" s="1061">
        <f>+AU1189</f>
        <v>-0.759188031281877</v>
      </c>
    </row>
    <row r="1224" spans="39:47" ht="20.25" customHeight="1">
      <c r="AM1224" s="1062" t="s">
        <v>559</v>
      </c>
      <c r="AN1224" s="1063" t="str">
        <f>IF(AT1158&gt;0,"От увеличаване на","От намаляване  на")</f>
        <v>От увеличаване на</v>
      </c>
      <c r="AO1224" s="865"/>
      <c r="AP1224" s="789" t="s">
        <v>267</v>
      </c>
      <c r="AQ1224" s="789"/>
      <c r="AR1224" s="789"/>
      <c r="AS1224" s="789"/>
      <c r="AT1224" s="1055">
        <f>+AS1156/AR1158-AS1189</f>
        <v>-0.00019650320962247975</v>
      </c>
      <c r="AU1224" s="1061">
        <f>+AT1224/AS1189</f>
        <v>-0.006358381502890215</v>
      </c>
    </row>
    <row r="1225" spans="39:47" ht="20.25" customHeight="1">
      <c r="AM1225" s="1057" t="s">
        <v>560</v>
      </c>
      <c r="AN1225" s="1058" t="str">
        <f>IF(AT1156&gt;0,"От увеличаване на","От намаляване  на")</f>
        <v>От намаляване  на</v>
      </c>
      <c r="AO1225" s="215"/>
      <c r="AP1225" s="110" t="s">
        <v>1502</v>
      </c>
      <c r="AQ1225" s="110"/>
      <c r="AR1225" s="110"/>
      <c r="AS1225" s="110"/>
      <c r="AT1225" s="1059"/>
      <c r="AU1225" s="1060"/>
    </row>
    <row r="1226" spans="39:47" ht="20.25" customHeight="1">
      <c r="AM1226" s="844"/>
      <c r="AN1226" s="799" t="s">
        <v>1503</v>
      </c>
      <c r="AO1226" s="789"/>
      <c r="AP1226" s="789"/>
      <c r="AQ1226" s="789"/>
      <c r="AR1226" s="789"/>
      <c r="AS1226" s="789"/>
      <c r="AT1226" s="1055">
        <f>+AR1189-AS1156/AR1158</f>
        <v>-0.023265895953757224</v>
      </c>
      <c r="AU1226" s="1061">
        <f>+AT1226/AS1189</f>
        <v>-0.7528296497789867</v>
      </c>
    </row>
    <row r="1227" spans="39:47" ht="20.25" customHeight="1">
      <c r="AM1227" s="807">
        <v>3</v>
      </c>
      <c r="AN1227" s="1054" t="s">
        <v>268</v>
      </c>
      <c r="AO1227" s="789"/>
      <c r="AP1227" s="789"/>
      <c r="AQ1227" s="789"/>
      <c r="AR1227" s="789"/>
      <c r="AS1227" s="789"/>
      <c r="AT1227" s="1055">
        <f>+AT1190</f>
        <v>-0.06290435818528034</v>
      </c>
      <c r="AU1227" s="1061">
        <f>+AU1190</f>
        <v>-0.8236770665907884</v>
      </c>
    </row>
    <row r="1228" spans="39:47" ht="20.25" customHeight="1">
      <c r="AM1228" s="1062" t="s">
        <v>561</v>
      </c>
      <c r="AN1228" s="1063" t="str">
        <f>IF(AT1159&gt;0,"От увеличаване на","От намаляване  на")</f>
        <v>От увеличаване на</v>
      </c>
      <c r="AO1228" s="865"/>
      <c r="AP1228" s="789" t="s">
        <v>269</v>
      </c>
      <c r="AQ1228" s="789"/>
      <c r="AR1228" s="789"/>
      <c r="AS1228" s="789"/>
      <c r="AT1228" s="1055">
        <f>+AS1156/AR1159-AS1190</f>
        <v>-0.020807352040686275</v>
      </c>
      <c r="AU1228" s="1061">
        <f>+AT1228/AS1190</f>
        <v>-0.2724539155445156</v>
      </c>
    </row>
    <row r="1229" spans="39:47" ht="20.25" customHeight="1">
      <c r="AM1229" s="1057" t="s">
        <v>560</v>
      </c>
      <c r="AN1229" s="1058" t="str">
        <f>IF(AT1156&gt;0,"От увеличаване на","От намаляване  на")</f>
        <v>От намаляване  на</v>
      </c>
      <c r="AO1229" s="215"/>
      <c r="AP1229" s="110" t="s">
        <v>1502</v>
      </c>
      <c r="AQ1229" s="110"/>
      <c r="AR1229" s="110"/>
      <c r="AS1229" s="110"/>
      <c r="AT1229" s="1059"/>
      <c r="AU1229" s="1060"/>
    </row>
    <row r="1230" spans="39:47" ht="20.25" customHeight="1">
      <c r="AM1230" s="844"/>
      <c r="AN1230" s="799" t="s">
        <v>1503</v>
      </c>
      <c r="AO1230" s="789"/>
      <c r="AP1230" s="789"/>
      <c r="AQ1230" s="789"/>
      <c r="AR1230" s="789"/>
      <c r="AS1230" s="789"/>
      <c r="AT1230" s="1055">
        <f>+AR1190-AS1156/AR1159</f>
        <v>-0.042097006144594065</v>
      </c>
      <c r="AU1230" s="1061">
        <f>+AT1230/AS1190</f>
        <v>-0.5512231510462728</v>
      </c>
    </row>
    <row r="1231" spans="39:47" ht="20.25" customHeight="1">
      <c r="AM1231" s="807">
        <v>4</v>
      </c>
      <c r="AN1231" s="1054" t="s">
        <v>270</v>
      </c>
      <c r="AO1231" s="789"/>
      <c r="AP1231" s="789"/>
      <c r="AQ1231" s="789"/>
      <c r="AR1231" s="789"/>
      <c r="AS1231" s="789"/>
      <c r="AT1231" s="1055">
        <f>+AT1191</f>
        <v>-0.01720819598098171</v>
      </c>
      <c r="AU1231" s="1061">
        <f>+AU1191</f>
        <v>-0.7821428747402912</v>
      </c>
    </row>
    <row r="1232" spans="39:47" ht="20.25" customHeight="1">
      <c r="AM1232" s="1062" t="s">
        <v>561</v>
      </c>
      <c r="AN1232" s="1063" t="str">
        <f>IF(AT1160&gt;0,"От увеличаване на","От намаляване  на")</f>
        <v>От увеличаване на</v>
      </c>
      <c r="AO1232" s="865"/>
      <c r="AP1232" s="789" t="s">
        <v>2037</v>
      </c>
      <c r="AQ1232" s="789"/>
      <c r="AR1232" s="789"/>
      <c r="AS1232" s="789"/>
      <c r="AT1232" s="1055">
        <f>+AS1156/AR1160-AS1191</f>
        <v>-0.0022237853522879616</v>
      </c>
      <c r="AU1232" s="1061">
        <f>+AT1232/AS1191</f>
        <v>-0.10107496858858014</v>
      </c>
    </row>
    <row r="1233" spans="39:47" ht="20.25" customHeight="1">
      <c r="AM1233" s="1057" t="s">
        <v>560</v>
      </c>
      <c r="AN1233" s="1058" t="str">
        <f>IF(AT1156&gt;0,"От увеличаване на","От намаляване  на")</f>
        <v>От намаляване  на</v>
      </c>
      <c r="AO1233" s="215"/>
      <c r="AP1233" s="110" t="s">
        <v>1502</v>
      </c>
      <c r="AQ1233" s="110"/>
      <c r="AR1233" s="110"/>
      <c r="AS1233" s="110"/>
      <c r="AT1233" s="1059"/>
      <c r="AU1233" s="1060"/>
    </row>
    <row r="1234" spans="39:47" ht="20.25" customHeight="1">
      <c r="AM1234" s="844"/>
      <c r="AN1234" s="799" t="s">
        <v>1503</v>
      </c>
      <c r="AO1234" s="789"/>
      <c r="AP1234" s="789"/>
      <c r="AQ1234" s="789"/>
      <c r="AR1234" s="789"/>
      <c r="AS1234" s="789"/>
      <c r="AT1234" s="1055">
        <f>+AR1191-AS1156/AR1160</f>
        <v>-0.01498441062869375</v>
      </c>
      <c r="AU1234" s="1061">
        <f>+AT1234/AS1191</f>
        <v>-0.681067906151711</v>
      </c>
    </row>
    <row r="1235" spans="39:47" ht="20.25" customHeight="1">
      <c r="AM1235" s="807">
        <v>5</v>
      </c>
      <c r="AN1235" s="1054" t="s">
        <v>271</v>
      </c>
      <c r="AO1235" s="789"/>
      <c r="AP1235" s="789"/>
      <c r="AQ1235" s="789"/>
      <c r="AR1235" s="789"/>
      <c r="AS1235" s="789"/>
      <c r="AT1235" s="1055">
        <f>+AT1193</f>
        <v>-0.042331825566588765</v>
      </c>
      <c r="AU1235" s="1061">
        <f>+AU1193</f>
        <v>-0.040034414525112555</v>
      </c>
    </row>
    <row r="1236" spans="39:47" ht="20.25" customHeight="1">
      <c r="AM1236" s="1062" t="s">
        <v>561</v>
      </c>
      <c r="AN1236" s="1063" t="str">
        <f>IF(AT1162&gt;0,"От увеличаване на","От намаляване  на")</f>
        <v>От намаляване  на</v>
      </c>
      <c r="AO1236" s="865"/>
      <c r="AP1236" s="789" t="s">
        <v>272</v>
      </c>
      <c r="AQ1236" s="789"/>
      <c r="AR1236" s="789"/>
      <c r="AS1236" s="789"/>
      <c r="AT1236" s="1055">
        <f>+AS1161/AR1162-AS1193</f>
        <v>0.08716247434571756</v>
      </c>
      <c r="AU1236" s="1061">
        <f>+AT1236/AS1193</f>
        <v>0.08243203741596018</v>
      </c>
    </row>
    <row r="1237" spans="39:47" ht="20.25" customHeight="1">
      <c r="AM1237" s="1062" t="s">
        <v>560</v>
      </c>
      <c r="AN1237" s="1063" t="str">
        <f>IF(AT1161&gt;0,"От увеличаване на","От намаляване  на")</f>
        <v>От намаляване  на</v>
      </c>
      <c r="AO1237" s="865"/>
      <c r="AP1237" s="789" t="s">
        <v>273</v>
      </c>
      <c r="AQ1237" s="789"/>
      <c r="AR1237" s="789"/>
      <c r="AS1237" s="789"/>
      <c r="AT1237" s="1055">
        <f>+AR1193-AS1161/AR1162</f>
        <v>-0.12949429991230632</v>
      </c>
      <c r="AU1237" s="1061">
        <f>+AT1237/AS1193</f>
        <v>-0.12246645194107274</v>
      </c>
    </row>
    <row r="1238" spans="39:47" ht="20.25" customHeight="1">
      <c r="AM1238" s="807">
        <v>6</v>
      </c>
      <c r="AN1238" s="1054" t="s">
        <v>274</v>
      </c>
      <c r="AO1238" s="789"/>
      <c r="AP1238" s="789"/>
      <c r="AQ1238" s="789"/>
      <c r="AR1238" s="789"/>
      <c r="AS1238" s="789"/>
      <c r="AT1238" s="1055">
        <f>+AT1194</f>
        <v>0.039440671588310994</v>
      </c>
      <c r="AU1238" s="1061">
        <f>+AU1194</f>
        <v>0.04170401015501801</v>
      </c>
    </row>
    <row r="1239" spans="39:47" ht="20.25" customHeight="1">
      <c r="AM1239" s="1062" t="s">
        <v>561</v>
      </c>
      <c r="AN1239" s="1063" t="str">
        <f>IF(AT1162&gt;0,"От увеличаване на","От намаляване  на")</f>
        <v>От намаляване  на</v>
      </c>
      <c r="AO1239" s="865"/>
      <c r="AP1239" s="789" t="s">
        <v>272</v>
      </c>
      <c r="AQ1239" s="789"/>
      <c r="AR1239" s="789"/>
      <c r="AS1239" s="789"/>
      <c r="AT1239" s="1055">
        <f>+AR1162/AS1161-AS1194</f>
        <v>-0.07202145319882514</v>
      </c>
      <c r="AU1239" s="1061">
        <f>+AT1239/AS1194</f>
        <v>-0.0761544693491763</v>
      </c>
    </row>
    <row r="1240" spans="39:47" ht="20.25" customHeight="1">
      <c r="AM1240" s="1062" t="s">
        <v>560</v>
      </c>
      <c r="AN1240" s="1063" t="str">
        <f>IF(AT1161&gt;0,"От увеличаване на","От намаляване  на")</f>
        <v>От намаляване  на</v>
      </c>
      <c r="AO1240" s="865"/>
      <c r="AP1240" s="789" t="s">
        <v>273</v>
      </c>
      <c r="AQ1240" s="789"/>
      <c r="AR1240" s="789"/>
      <c r="AS1240" s="789"/>
      <c r="AT1240" s="1055">
        <f>+AR1194-AR1162/AS1161</f>
        <v>0.11146212478713613</v>
      </c>
      <c r="AU1240" s="1061">
        <f>+AT1240/AS1194</f>
        <v>0.11785847950419431</v>
      </c>
    </row>
    <row r="1241" spans="39:47" ht="20.25" customHeight="1">
      <c r="AM1241" s="807">
        <v>7</v>
      </c>
      <c r="AN1241" s="1054" t="s">
        <v>275</v>
      </c>
      <c r="AO1241" s="789"/>
      <c r="AP1241" s="789"/>
      <c r="AQ1241" s="789"/>
      <c r="AR1241" s="789"/>
      <c r="AS1241" s="789"/>
      <c r="AT1241" s="1055">
        <f>+AT1196</f>
        <v>4.317287120239621</v>
      </c>
      <c r="AU1241" s="1061">
        <f>+AU1196</f>
        <v>0.34524262708783315</v>
      </c>
    </row>
    <row r="1242" spans="39:47" ht="20.25" customHeight="1">
      <c r="AM1242" s="1062" t="s">
        <v>561</v>
      </c>
      <c r="AN1242" s="1063" t="str">
        <f>IF(AT1165&gt;0,"От увеличаване на","От намаляване  на")</f>
        <v>От увеличаване на</v>
      </c>
      <c r="AO1242" s="865"/>
      <c r="AP1242" s="789" t="s">
        <v>276</v>
      </c>
      <c r="AQ1242" s="789"/>
      <c r="AR1242" s="789"/>
      <c r="AS1242" s="789"/>
      <c r="AT1242" s="1055">
        <f>+AR1165/AS1166-AS1196</f>
        <v>0.48780487804877914</v>
      </c>
      <c r="AU1242" s="1061">
        <f>+AT1242/AS1196</f>
        <v>0.03900853311661915</v>
      </c>
    </row>
    <row r="1243" spans="39:47" ht="20.25" customHeight="1">
      <c r="AM1243" s="1062" t="s">
        <v>560</v>
      </c>
      <c r="AN1243" s="1063" t="str">
        <f>IF(AT1166&gt;0,"От увеличаване на","От намаляване  на")</f>
        <v>От намаляване  на</v>
      </c>
      <c r="AO1243" s="865"/>
      <c r="AP1243" s="789" t="s">
        <v>592</v>
      </c>
      <c r="AQ1243" s="789"/>
      <c r="AR1243" s="789"/>
      <c r="AS1243" s="789"/>
      <c r="AT1243" s="1055">
        <f>+AR1196-AR1165/AS1166</f>
        <v>3.829482242190842</v>
      </c>
      <c r="AU1243" s="1061">
        <f>+AT1243/AS1196</f>
        <v>0.30623409397121404</v>
      </c>
    </row>
    <row r="1244" spans="39:47" ht="20.25" customHeight="1">
      <c r="AM1244" s="807">
        <v>8</v>
      </c>
      <c r="AN1244" s="1054" t="s">
        <v>277</v>
      </c>
      <c r="AO1244" s="789"/>
      <c r="AP1244" s="789"/>
      <c r="AQ1244" s="789"/>
      <c r="AR1244" s="789"/>
      <c r="AS1244" s="789"/>
      <c r="AT1244" s="1055">
        <f>+AT1197</f>
        <v>1.4974646983311937</v>
      </c>
      <c r="AU1244" s="1061">
        <f>+AU1197</f>
        <v>0.2570216750667878</v>
      </c>
    </row>
    <row r="1245" spans="39:47" ht="20.25" customHeight="1">
      <c r="AM1245" s="1062" t="s">
        <v>561</v>
      </c>
      <c r="AN1245" s="1063" t="str">
        <f>IF(AT1167&gt;0,"От увеличаване на","От намаляване  на")</f>
        <v>От намаляване  на</v>
      </c>
      <c r="AO1245" s="865"/>
      <c r="AP1245" s="789" t="s">
        <v>910</v>
      </c>
      <c r="AQ1245" s="789"/>
      <c r="AR1245" s="789"/>
      <c r="AS1245" s="789"/>
      <c r="AT1245" s="1055">
        <f>+(AR1167+AS1168+AS1169)/AS1166-AS1197</f>
        <v>-0.05386178861788604</v>
      </c>
      <c r="AU1245" s="1061">
        <f>+AT1245/AS1197</f>
        <v>-0.009244723530437792</v>
      </c>
    </row>
    <row r="1246" spans="39:47" ht="20.25" customHeight="1">
      <c r="AM1246" s="1062" t="s">
        <v>560</v>
      </c>
      <c r="AN1246" s="1063" t="str">
        <f>IF(AT1168&gt;0,"От увеличаване на","От намаляване  на")</f>
        <v>От намаляване  на</v>
      </c>
      <c r="AO1246" s="865"/>
      <c r="AP1246" s="789" t="s">
        <v>557</v>
      </c>
      <c r="AQ1246" s="789"/>
      <c r="AR1246" s="789"/>
      <c r="AS1246" s="789"/>
      <c r="AT1246" s="1055">
        <f>+(AS1167+AR1168+AS1169)/AS1166-AS1197</f>
        <v>0</v>
      </c>
      <c r="AU1246" s="1061">
        <f>+AT1246/AS1197</f>
        <v>0</v>
      </c>
    </row>
    <row r="1247" spans="39:47" ht="20.25" customHeight="1">
      <c r="AM1247" s="1062" t="s">
        <v>562</v>
      </c>
      <c r="AN1247" s="1063" t="str">
        <f>IF(AT1169&gt;0,"От увеличаване на","От намаляване  на")</f>
        <v>От намаляване  на</v>
      </c>
      <c r="AO1247" s="865"/>
      <c r="AP1247" s="789" t="s">
        <v>912</v>
      </c>
      <c r="AQ1247" s="789"/>
      <c r="AR1247" s="789"/>
      <c r="AS1247" s="789"/>
      <c r="AT1247" s="1055">
        <f>+(AS1167+AS1168+AR1169)/AS1166-AS1197</f>
        <v>-0.11585365853658569</v>
      </c>
      <c r="AU1247" s="1061">
        <f>+AT1247/AS1197</f>
        <v>-0.019884877027734227</v>
      </c>
    </row>
    <row r="1248" spans="39:47" ht="20.25" customHeight="1" thickBot="1">
      <c r="AM1248" s="1064" t="s">
        <v>563</v>
      </c>
      <c r="AN1248" s="1065" t="str">
        <f>IF(AT1166&gt;0,"От увеличаване на","От намаляване  на")</f>
        <v>От намаляване  на</v>
      </c>
      <c r="AO1248" s="1066"/>
      <c r="AP1248" s="814" t="s">
        <v>592</v>
      </c>
      <c r="AQ1248" s="814"/>
      <c r="AR1248" s="814"/>
      <c r="AS1248" s="814"/>
      <c r="AT1248" s="1067">
        <f>+AR1197-(AR1167+AR1168+AR1169)/AS1166</f>
        <v>1.6671801454856654</v>
      </c>
      <c r="AU1248" s="1068">
        <f>+AT1248/AS1197</f>
        <v>0.28615127562495984</v>
      </c>
    </row>
    <row r="1249" spans="39:48" ht="7.5" customHeight="1">
      <c r="AM1249" s="871"/>
      <c r="AN1249" s="871"/>
      <c r="AO1249" s="871"/>
      <c r="AP1249" s="871"/>
      <c r="AQ1249" s="871"/>
      <c r="AR1249" s="871"/>
      <c r="AS1249" s="871"/>
      <c r="AT1249" s="871"/>
      <c r="AU1249" s="871"/>
      <c r="AV1249" s="62">
        <f>+' -'!$C$12</f>
      </c>
    </row>
    <row r="1250" spans="39:47" ht="22.5" customHeight="1" thickBot="1">
      <c r="AM1250" s="1016" t="s">
        <v>1330</v>
      </c>
      <c r="AN1250" s="214"/>
      <c r="AO1250" s="214"/>
      <c r="AP1250" s="214"/>
      <c r="AQ1250" s="214"/>
      <c r="AR1250" s="1040"/>
      <c r="AS1250" s="1040"/>
      <c r="AT1250" s="225"/>
      <c r="AU1250" s="1041"/>
    </row>
    <row r="1251" spans="39:47" ht="22.5" customHeight="1">
      <c r="AM1251" s="1042"/>
      <c r="AN1251" s="1043" t="s">
        <v>1358</v>
      </c>
      <c r="AO1251" s="941"/>
      <c r="AP1251" s="941"/>
      <c r="AQ1251" s="941"/>
      <c r="AR1251" s="1044"/>
      <c r="AS1251" s="1044"/>
      <c r="AT1251" s="940" t="s">
        <v>1359</v>
      </c>
      <c r="AU1251" s="1045"/>
    </row>
    <row r="1252" spans="39:47" ht="22.5" customHeight="1">
      <c r="AM1252" s="951" t="s">
        <v>1612</v>
      </c>
      <c r="AN1252" s="1046" t="s">
        <v>1360</v>
      </c>
      <c r="AO1252" s="879"/>
      <c r="AP1252" s="879"/>
      <c r="AQ1252" s="879"/>
      <c r="AR1252" s="1047"/>
      <c r="AS1252" s="1047"/>
      <c r="AT1252" s="1048" t="s">
        <v>1361</v>
      </c>
      <c r="AU1252" s="1049"/>
    </row>
    <row r="1253" spans="39:47" ht="22.5" customHeight="1" thickBot="1">
      <c r="AM1253" s="952"/>
      <c r="AN1253" s="1050" t="s">
        <v>1362</v>
      </c>
      <c r="AO1253" s="943"/>
      <c r="AP1253" s="943"/>
      <c r="AQ1253" s="943"/>
      <c r="AR1253" s="1051"/>
      <c r="AS1253" s="1051"/>
      <c r="AT1253" s="1052" t="s">
        <v>1614</v>
      </c>
      <c r="AU1253" s="1053" t="s">
        <v>1615</v>
      </c>
    </row>
    <row r="1254" spans="39:47" ht="22.5" customHeight="1">
      <c r="AM1254" s="807">
        <v>9</v>
      </c>
      <c r="AN1254" s="1054" t="s">
        <v>278</v>
      </c>
      <c r="AO1254" s="789"/>
      <c r="AP1254" s="789"/>
      <c r="AQ1254" s="789"/>
      <c r="AR1254" s="789"/>
      <c r="AS1254" s="789"/>
      <c r="AT1254" s="1055">
        <f>+AT1198</f>
        <v>-0.0784124946512623</v>
      </c>
      <c r="AU1254" s="1061">
        <f>+AU1198</f>
        <v>-0.32283637965205897</v>
      </c>
    </row>
    <row r="1255" spans="39:47" ht="22.5" customHeight="1">
      <c r="AM1255" s="1062" t="s">
        <v>561</v>
      </c>
      <c r="AN1255" s="1063" t="str">
        <f>IF(AT1168&gt;0,"От увеличаване на","От намаляване  на")</f>
        <v>От намаляване  на</v>
      </c>
      <c r="AO1255" s="865"/>
      <c r="AP1255" s="789" t="s">
        <v>557</v>
      </c>
      <c r="AQ1255" s="789"/>
      <c r="AR1255" s="789"/>
      <c r="AS1255" s="789"/>
      <c r="AT1255" s="1055">
        <f>+(AR1168+AS1169)/AS1172-AS1198</f>
        <v>0</v>
      </c>
      <c r="AU1255" s="1061">
        <f>+AT1255/AS1198</f>
        <v>0</v>
      </c>
    </row>
    <row r="1256" spans="39:47" ht="22.5" customHeight="1">
      <c r="AM1256" s="1062" t="s">
        <v>560</v>
      </c>
      <c r="AN1256" s="1063" t="str">
        <f>IF(AT1169&gt;0,"От увеличаване на","От намаляване  на")</f>
        <v>От намаляване  на</v>
      </c>
      <c r="AO1256" s="865"/>
      <c r="AP1256" s="789" t="s">
        <v>912</v>
      </c>
      <c r="AQ1256" s="789"/>
      <c r="AR1256" s="789"/>
      <c r="AS1256" s="789"/>
      <c r="AT1256" s="1055">
        <f>+(AS1168+AR1169)/AS1172-AS1198</f>
        <v>-0.11585365853658536</v>
      </c>
      <c r="AU1256" s="1061">
        <f>+AT1256/AS1198</f>
        <v>-0.47698744769874474</v>
      </c>
    </row>
    <row r="1257" spans="39:47" ht="22.5" customHeight="1">
      <c r="AM1257" s="1062" t="s">
        <v>562</v>
      </c>
      <c r="AN1257" s="1063" t="str">
        <f>IF(AT1172&gt;0,"От увеличаване на","От намаляване  на")</f>
        <v>От намаляване  на</v>
      </c>
      <c r="AO1257" s="865"/>
      <c r="AP1257" s="789" t="s">
        <v>279</v>
      </c>
      <c r="AQ1257" s="789"/>
      <c r="AR1257" s="789"/>
      <c r="AS1257" s="789"/>
      <c r="AT1257" s="1055">
        <f>+AR1198-(AR1168+AR1169)/AS1172</f>
        <v>0.037441163885323064</v>
      </c>
      <c r="AU1257" s="1061">
        <f>+AT1257/AS1198</f>
        <v>0.15415106804668574</v>
      </c>
    </row>
    <row r="1258" spans="39:47" ht="22.5" customHeight="1">
      <c r="AM1258" s="807">
        <v>10</v>
      </c>
      <c r="AN1258" s="1054" t="s">
        <v>280</v>
      </c>
      <c r="AO1258" s="789"/>
      <c r="AP1258" s="789"/>
      <c r="AQ1258" s="789"/>
      <c r="AR1258" s="789"/>
      <c r="AS1258" s="789"/>
      <c r="AT1258" s="1055">
        <f>+AT1199</f>
        <v>-0.0784124946512623</v>
      </c>
      <c r="AU1258" s="1061">
        <f>+AU1199</f>
        <v>-0.32283637965205897</v>
      </c>
    </row>
    <row r="1259" spans="39:47" ht="22.5" customHeight="1">
      <c r="AM1259" s="1062" t="s">
        <v>561</v>
      </c>
      <c r="AN1259" s="1063" t="str">
        <f>IF(AT1169&gt;0,"От увеличаване на","От намаляване  на")</f>
        <v>От намаляване  на</v>
      </c>
      <c r="AO1259" s="865"/>
      <c r="AP1259" s="789" t="s">
        <v>912</v>
      </c>
      <c r="AQ1259" s="789"/>
      <c r="AR1259" s="789"/>
      <c r="AS1259" s="789"/>
      <c r="AT1259" s="1055">
        <f>+AR1169/AS1172-AS1199</f>
        <v>-0.11585365853658536</v>
      </c>
      <c r="AU1259" s="1061">
        <f>+AT1259/AS1199</f>
        <v>-0.47698744769874474</v>
      </c>
    </row>
    <row r="1260" spans="39:47" ht="22.5" customHeight="1">
      <c r="AM1260" s="1062" t="s">
        <v>560</v>
      </c>
      <c r="AN1260" s="1063" t="str">
        <f>IF(AT1172&gt;0,"От увеличаване на","От намаляване  на")</f>
        <v>От намаляване  на</v>
      </c>
      <c r="AO1260" s="865"/>
      <c r="AP1260" s="789" t="s">
        <v>279</v>
      </c>
      <c r="AQ1260" s="789"/>
      <c r="AR1260" s="789"/>
      <c r="AS1260" s="789"/>
      <c r="AT1260" s="1055">
        <f>+AR1199-AR1169/AS1172</f>
        <v>0.037441163885323064</v>
      </c>
      <c r="AU1260" s="1061">
        <f>+AT1260/AS1199</f>
        <v>0.15415106804668574</v>
      </c>
    </row>
    <row r="1261" spans="39:47" ht="22.5" customHeight="1">
      <c r="AM1261" s="807">
        <v>13</v>
      </c>
      <c r="AN1261" s="1054" t="s">
        <v>281</v>
      </c>
      <c r="AO1261" s="789"/>
      <c r="AP1261" s="789"/>
      <c r="AQ1261" s="789"/>
      <c r="AR1261" s="789"/>
      <c r="AS1261" s="789"/>
      <c r="AT1261" s="1055">
        <f>+AT1201</f>
        <v>-0.6617721816956148</v>
      </c>
      <c r="AU1261" s="1061">
        <f>+AU1201</f>
        <v>-0.2677982977847656</v>
      </c>
    </row>
    <row r="1262" spans="39:47" ht="22.5" customHeight="1">
      <c r="AM1262" s="1062" t="s">
        <v>561</v>
      </c>
      <c r="AN1262" s="1063" t="str">
        <f>IF(AT1158&gt;0,"От увеличаване на","От намаляване  на")</f>
        <v>От увеличаване на</v>
      </c>
      <c r="AO1262" s="865"/>
      <c r="AP1262" s="789" t="s">
        <v>267</v>
      </c>
      <c r="AQ1262" s="789"/>
      <c r="AR1262" s="789"/>
      <c r="AS1262" s="789"/>
      <c r="AT1262" s="1055">
        <f>+AR1158/AS1159-AS1201</f>
        <v>0.015813117699909895</v>
      </c>
      <c r="AU1262" s="1061">
        <f>+AT1262/AS1201</f>
        <v>0.006399069226294253</v>
      </c>
    </row>
    <row r="1263" spans="39:47" ht="22.5" customHeight="1">
      <c r="AM1263" s="1062" t="s">
        <v>560</v>
      </c>
      <c r="AN1263" s="1063" t="str">
        <f>IF(AT1159&gt;0,"От увеличаване на","От намаляване  на")</f>
        <v>От увеличаване на</v>
      </c>
      <c r="AO1263" s="865"/>
      <c r="AP1263" s="789" t="s">
        <v>269</v>
      </c>
      <c r="AQ1263" s="789"/>
      <c r="AR1263" s="789"/>
      <c r="AS1263" s="789"/>
      <c r="AT1263" s="1055">
        <f>+AR1201-AR1158/AS1159</f>
        <v>-0.6775852993955247</v>
      </c>
      <c r="AU1263" s="1061">
        <f>+AT1263/AS1201</f>
        <v>-0.27419736701105984</v>
      </c>
    </row>
    <row r="1264" spans="39:47" ht="22.5" customHeight="1">
      <c r="AM1264" s="807">
        <v>14</v>
      </c>
      <c r="AN1264" s="1054" t="s">
        <v>335</v>
      </c>
      <c r="AO1264" s="789"/>
      <c r="AP1264" s="789"/>
      <c r="AQ1264" s="789"/>
      <c r="AR1264" s="789"/>
      <c r="AS1264" s="789"/>
      <c r="AT1264" s="1055">
        <f>+AT1202</f>
        <v>0.1480049985372595</v>
      </c>
      <c r="AU1264" s="1061">
        <f>+AU1202</f>
        <v>0.36574388856862405</v>
      </c>
    </row>
    <row r="1265" spans="39:47" ht="22.5" customHeight="1">
      <c r="AM1265" s="1062" t="s">
        <v>561</v>
      </c>
      <c r="AN1265" s="1063" t="str">
        <f>IF(AT1159&gt;0,"От увеличаване на","От намаляване  на")</f>
        <v>От увеличаване на</v>
      </c>
      <c r="AO1265" s="865"/>
      <c r="AP1265" s="789" t="s">
        <v>269</v>
      </c>
      <c r="AQ1265" s="789"/>
      <c r="AR1265" s="789"/>
      <c r="AS1265" s="789"/>
      <c r="AT1265" s="1055">
        <f>+AR1159/AS1158-AS1202</f>
        <v>0.15154159394997097</v>
      </c>
      <c r="AU1265" s="1061">
        <f>+AT1265/AS1202</f>
        <v>0.3744833782569633</v>
      </c>
    </row>
    <row r="1266" spans="39:47" ht="22.5" customHeight="1">
      <c r="AM1266" s="1062" t="s">
        <v>560</v>
      </c>
      <c r="AN1266" s="1063" t="str">
        <f>IF(AT1158&gt;0,"От увеличаване на","От намаляване  на")</f>
        <v>От увеличаване на</v>
      </c>
      <c r="AO1266" s="865"/>
      <c r="AP1266" s="789" t="s">
        <v>267</v>
      </c>
      <c r="AQ1266" s="789"/>
      <c r="AR1266" s="789"/>
      <c r="AS1266" s="789"/>
      <c r="AT1266" s="1055">
        <f>+AR1202-AR1159/AS1158</f>
        <v>-0.003536595412711452</v>
      </c>
      <c r="AU1266" s="1061">
        <f>+AT1266/AS1202</f>
        <v>-0.008739489688339243</v>
      </c>
    </row>
    <row r="1267" spans="39:47" ht="22.5" customHeight="1">
      <c r="AM1267" s="807">
        <v>15</v>
      </c>
      <c r="AN1267" s="1054" t="s">
        <v>21</v>
      </c>
      <c r="AO1267" s="789"/>
      <c r="AP1267" s="789"/>
      <c r="AQ1267" s="789"/>
      <c r="AR1267" s="789"/>
      <c r="AS1267" s="789"/>
      <c r="AT1267" s="1069">
        <f>+AT1205</f>
        <v>56.049386236817895</v>
      </c>
      <c r="AU1267" s="1061">
        <f>+AU1205</f>
        <v>0.1778668728722986</v>
      </c>
    </row>
    <row r="1268" spans="39:47" ht="22.5" customHeight="1">
      <c r="AM1268" s="1062" t="s">
        <v>561</v>
      </c>
      <c r="AN1268" s="1063" t="str">
        <f>IF(AT1173&gt;0,"От увеличаване на","От намаляване  на")</f>
        <v>От увеличаване на</v>
      </c>
      <c r="AO1268" s="865"/>
      <c r="AP1268" s="914" t="s">
        <v>558</v>
      </c>
      <c r="AQ1268" s="789"/>
      <c r="AR1268" s="789"/>
      <c r="AS1268" s="789"/>
      <c r="AT1268" s="1069">
        <f>+AR1173*AS1179/AS1157-AS1205</f>
        <v>15.511454448588154</v>
      </c>
      <c r="AU1268" s="1061">
        <f>+AT1268/AS1205</f>
        <v>0.04922398052343268</v>
      </c>
    </row>
    <row r="1269" spans="39:47" ht="22.5" customHeight="1">
      <c r="AM1269" s="1062" t="s">
        <v>560</v>
      </c>
      <c r="AN1269" s="1063" t="str">
        <f>IF(AT1157&gt;0,"От увеличаване на","От намаляване  на")</f>
        <v>От намаляване  на</v>
      </c>
      <c r="AO1269" s="865"/>
      <c r="AP1269" s="789" t="s">
        <v>22</v>
      </c>
      <c r="AQ1269" s="789"/>
      <c r="AR1269" s="789"/>
      <c r="AS1269" s="789"/>
      <c r="AT1269" s="1069">
        <f>+AR1205-AR1173*AS1179/AS1157</f>
        <v>40.53793178822974</v>
      </c>
      <c r="AU1269" s="1061">
        <f>+AT1269/AS1205</f>
        <v>0.12864289234886592</v>
      </c>
    </row>
    <row r="1270" spans="39:47" ht="22.5" customHeight="1">
      <c r="AM1270" s="807">
        <v>16</v>
      </c>
      <c r="AN1270" s="1054" t="s">
        <v>23</v>
      </c>
      <c r="AO1270" s="789"/>
      <c r="AP1270" s="789"/>
      <c r="AQ1270" s="789"/>
      <c r="AR1270" s="789"/>
      <c r="AS1270" s="789"/>
      <c r="AT1270" s="1069">
        <f>+AT1206</f>
        <v>-0.17251448709592254</v>
      </c>
      <c r="AU1270" s="1061">
        <f>+AU1206</f>
        <v>-0.1510076197648379</v>
      </c>
    </row>
    <row r="1271" spans="39:47" ht="22.5" customHeight="1">
      <c r="AM1271" s="1062" t="s">
        <v>561</v>
      </c>
      <c r="AN1271" s="1063" t="str">
        <f>IF(AT1157&gt;0,"От увеличаване на","От намаляване  на")</f>
        <v>От намаляване  на</v>
      </c>
      <c r="AO1271" s="865"/>
      <c r="AP1271" s="789" t="s">
        <v>22</v>
      </c>
      <c r="AQ1271" s="789"/>
      <c r="AR1271" s="789"/>
      <c r="AS1271" s="789"/>
      <c r="AT1271" s="1069">
        <f>+AR1157/AS1173-AS1206</f>
        <v>-0.12477175897748038</v>
      </c>
      <c r="AU1271" s="1061">
        <f>+AT1271/AS1206</f>
        <v>-0.1092168353755995</v>
      </c>
    </row>
    <row r="1272" spans="39:47" ht="22.5" customHeight="1">
      <c r="AM1272" s="1062" t="s">
        <v>560</v>
      </c>
      <c r="AN1272" s="1063" t="str">
        <f>IF(AT1173&gt;0,"От увеличаване на","От намаляване  на")</f>
        <v>От увеличаване на</v>
      </c>
      <c r="AO1272" s="865"/>
      <c r="AP1272" s="914" t="s">
        <v>558</v>
      </c>
      <c r="AQ1272" s="789"/>
      <c r="AR1272" s="789"/>
      <c r="AS1272" s="789"/>
      <c r="AT1272" s="1069">
        <f>+AR1206-AR1157/AS1173</f>
        <v>-0.04774272811844216</v>
      </c>
      <c r="AU1272" s="1061">
        <f>+AT1272/AS1206</f>
        <v>-0.04179078438923839</v>
      </c>
    </row>
    <row r="1273" spans="39:47" ht="22.5" customHeight="1">
      <c r="AM1273" s="807">
        <v>17</v>
      </c>
      <c r="AN1273" s="1054" t="s">
        <v>24</v>
      </c>
      <c r="AO1273" s="789"/>
      <c r="AP1273" s="789"/>
      <c r="AQ1273" s="789"/>
      <c r="AR1273" s="789"/>
      <c r="AS1273" s="789"/>
      <c r="AT1273" s="1055">
        <f>+AT1207</f>
        <v>0.15569273954671636</v>
      </c>
      <c r="AU1273" s="1061">
        <f>+AU1207</f>
        <v>0.1778668728722986</v>
      </c>
    </row>
    <row r="1274" spans="39:47" ht="22.5" customHeight="1">
      <c r="AM1274" s="1062" t="s">
        <v>561</v>
      </c>
      <c r="AN1274" s="1063" t="str">
        <f>IF(AT1173&gt;0,"От увеличаване на","От намаляване  на")</f>
        <v>От увеличаване на</v>
      </c>
      <c r="AO1274" s="865"/>
      <c r="AP1274" s="914" t="s">
        <v>558</v>
      </c>
      <c r="AQ1274" s="789"/>
      <c r="AR1274" s="789"/>
      <c r="AS1274" s="789"/>
      <c r="AT1274" s="1055">
        <f>+AR1173/AS1157-AS1207</f>
        <v>0.043087373468300494</v>
      </c>
      <c r="AU1274" s="1061">
        <f>+AT1274/AS1207</f>
        <v>0.04922398052343276</v>
      </c>
    </row>
    <row r="1275" spans="39:47" ht="22.5" customHeight="1">
      <c r="AM1275" s="1062" t="s">
        <v>560</v>
      </c>
      <c r="AN1275" s="1063" t="str">
        <f>IF(AT1157&gt;0,"От увеличаване на","От намаляване  на")</f>
        <v>От намаляване  на</v>
      </c>
      <c r="AO1275" s="865"/>
      <c r="AP1275" s="789" t="s">
        <v>22</v>
      </c>
      <c r="AQ1275" s="789"/>
      <c r="AR1275" s="789"/>
      <c r="AS1275" s="789"/>
      <c r="AT1275" s="1055">
        <f>+AR1207-AR1173/AS1157</f>
        <v>0.11260536607841587</v>
      </c>
      <c r="AU1275" s="1061">
        <f>+AT1275/AS1207</f>
        <v>0.12864289234886586</v>
      </c>
    </row>
    <row r="1276" spans="39:47" ht="22.5" customHeight="1">
      <c r="AM1276" s="807">
        <v>18</v>
      </c>
      <c r="AN1276" s="1054" t="s">
        <v>922</v>
      </c>
      <c r="AO1276" s="789"/>
      <c r="AP1276" s="789"/>
      <c r="AQ1276" s="789"/>
      <c r="AR1276" s="789"/>
      <c r="AS1276" s="789"/>
      <c r="AT1276" s="1069">
        <f>+AT1210</f>
        <v>0.015027033365370812</v>
      </c>
      <c r="AU1276" s="1061">
        <f>+AU1210</f>
        <v>0.00020963018674694176</v>
      </c>
    </row>
    <row r="1277" spans="39:47" ht="22.5" customHeight="1">
      <c r="AM1277" s="1062" t="s">
        <v>561</v>
      </c>
      <c r="AN1277" s="1063" t="str">
        <f>IF(AT1175&gt;0,"От увеличаване на","От намаляване  на")</f>
        <v>От намаляване  на</v>
      </c>
      <c r="AO1277" s="865"/>
      <c r="AP1277" s="789" t="s">
        <v>923</v>
      </c>
      <c r="AQ1277" s="789"/>
      <c r="AR1277" s="789"/>
      <c r="AS1277" s="789"/>
      <c r="AT1277" s="1069">
        <f>+AR1175*AR1179/AS1157-AS1210</f>
        <v>-7.815663292488011</v>
      </c>
      <c r="AU1277" s="1061">
        <f>+AT1277/AS1210</f>
        <v>-0.10903010033444814</v>
      </c>
    </row>
    <row r="1278" spans="39:47" ht="22.5" customHeight="1">
      <c r="AM1278" s="1062" t="s">
        <v>560</v>
      </c>
      <c r="AN1278" s="1063" t="str">
        <f>IF(AT1157&gt;0,"От увеличаване на","От намаляване  на")</f>
        <v>От намаляване  на</v>
      </c>
      <c r="AO1278" s="865"/>
      <c r="AP1278" s="789" t="s">
        <v>22</v>
      </c>
      <c r="AQ1278" s="789"/>
      <c r="AR1278" s="789"/>
      <c r="AS1278" s="789"/>
      <c r="AT1278" s="1069">
        <f>+AR1210-AR1175*AR1179/AS1157</f>
        <v>7.830690325853382</v>
      </c>
      <c r="AU1278" s="1061">
        <f>+AT1278/AS1210</f>
        <v>0.10923973052119508</v>
      </c>
    </row>
    <row r="1279" spans="39:47" ht="22.5" customHeight="1">
      <c r="AM1279" s="807">
        <v>19</v>
      </c>
      <c r="AN1279" s="1070" t="s">
        <v>1471</v>
      </c>
      <c r="AO1279" s="789"/>
      <c r="AP1279" s="789"/>
      <c r="AQ1279" s="789"/>
      <c r="AR1279" s="789"/>
      <c r="AS1279" s="789"/>
      <c r="AT1279" s="1069">
        <f>+AT1212</f>
        <v>0</v>
      </c>
      <c r="AU1279" s="1061">
        <f>+AU1212</f>
        <v>0</v>
      </c>
    </row>
    <row r="1280" spans="39:47" ht="22.5" customHeight="1">
      <c r="AM1280" s="1062" t="s">
        <v>561</v>
      </c>
      <c r="AN1280" s="1063" t="str">
        <f>IF(AT1177&gt;0,"От увеличаване на","От намаляване  на")</f>
        <v>От намаляване  на</v>
      </c>
      <c r="AO1280" s="865"/>
      <c r="AP1280" s="789" t="s">
        <v>1472</v>
      </c>
      <c r="AQ1280" s="789"/>
      <c r="AR1280" s="789"/>
      <c r="AS1280" s="789"/>
      <c r="AT1280" s="1069">
        <f>IF(AS1178=0,"",+AR1177*AR1179/AS1178-AS1212)</f>
      </c>
      <c r="AU1280" s="1061">
        <f>IF(AT1280="","",+AT1280/AS1212)</f>
      </c>
    </row>
    <row r="1281" spans="39:47" ht="22.5" customHeight="1" thickBot="1">
      <c r="AM1281" s="1064" t="s">
        <v>560</v>
      </c>
      <c r="AN1281" s="1071" t="str">
        <f>IF(AT1178&gt;0,"От увеличаване на","От намаляване  на")</f>
        <v>От намаляване  на</v>
      </c>
      <c r="AO1281" s="1066"/>
      <c r="AP1281" s="814" t="s">
        <v>2447</v>
      </c>
      <c r="AQ1281" s="814"/>
      <c r="AR1281" s="814"/>
      <c r="AS1281" s="814"/>
      <c r="AT1281" s="1072">
        <f>IF(AS1178=0,"",+AR1212-AR1177*AR1179/AS1178)</f>
      </c>
      <c r="AU1281" s="1068">
        <f>IF(AT1281="","",+AT1281/AS1212)</f>
      </c>
    </row>
    <row r="1282" spans="39:48" ht="8.25" customHeight="1"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62">
        <f>+' -'!$B$11</f>
      </c>
    </row>
    <row r="1283" spans="39:47" ht="16.5" customHeight="1">
      <c r="AM1283" s="110"/>
      <c r="AN1283" s="110" t="s">
        <v>2448</v>
      </c>
      <c r="AO1283" s="110"/>
      <c r="AP1283" s="110"/>
      <c r="AQ1283" s="110"/>
      <c r="AR1283" s="110"/>
      <c r="AS1283" s="214" t="str">
        <f>IF($AT$1218&gt;0,"се   увеличава   с","се   намалява   с")</f>
        <v>се   намалява   с</v>
      </c>
      <c r="AT1283" s="215"/>
      <c r="AU1283" s="216">
        <f>ABS($AT$1218)</f>
        <v>0.04120556892424795</v>
      </c>
    </row>
    <row r="1284" spans="39:47" ht="16.5" customHeight="1">
      <c r="AM1284" s="110" t="s">
        <v>2449</v>
      </c>
      <c r="AN1284" s="110"/>
      <c r="AO1284" s="217">
        <f>ABS($AU$1218)</f>
        <v>0.7279327329017732</v>
      </c>
      <c r="AP1284" s="110" t="s">
        <v>2450</v>
      </c>
      <c r="AQ1284" s="110"/>
      <c r="AR1284" s="110"/>
      <c r="AS1284" s="110"/>
      <c r="AT1284" s="110"/>
      <c r="AU1284" s="110"/>
    </row>
    <row r="1285" spans="39:47" ht="16.5" customHeight="1">
      <c r="AM1285" s="218" t="str">
        <f>IF($AU$1218&gt;$AU$1157,"изпреварващи","изоставащи")</f>
        <v>изоставащи</v>
      </c>
      <c r="AN1285" s="215"/>
      <c r="AO1285" s="110" t="s">
        <v>2451</v>
      </c>
      <c r="AP1285" s="110"/>
      <c r="AQ1285" s="110"/>
      <c r="AR1285" s="110"/>
      <c r="AS1285" s="110"/>
      <c r="AT1285" s="214" t="str">
        <f>IF($AU$1218&gt;$AU$1157,"благоприятен","неблагоприятен")</f>
        <v>неблагоприятен</v>
      </c>
      <c r="AU1285" s="215"/>
    </row>
    <row r="1286" spans="39:47" ht="16.5" customHeight="1">
      <c r="AM1286" s="110" t="s">
        <v>618</v>
      </c>
      <c r="AN1286" s="110"/>
      <c r="AO1286" s="110"/>
      <c r="AP1286" s="110"/>
      <c r="AQ1286" s="110"/>
      <c r="AR1286" s="110"/>
      <c r="AS1286" s="110"/>
      <c r="AT1286" s="110"/>
      <c r="AU1286" s="110"/>
    </row>
    <row r="1287" spans="39:47" ht="16.5" customHeight="1">
      <c r="AM1287" s="110" t="s">
        <v>2184</v>
      </c>
      <c r="AN1287" s="110"/>
      <c r="AO1287" s="110"/>
      <c r="AP1287" s="110"/>
      <c r="AQ1287" s="110"/>
      <c r="AR1287" s="110"/>
      <c r="AS1287" s="110"/>
      <c r="AT1287" s="110"/>
      <c r="AU1287" s="110"/>
    </row>
    <row r="1288" spans="39:47" ht="16.5" customHeight="1">
      <c r="AM1288" s="110"/>
      <c r="AN1288" s="110" t="s">
        <v>2185</v>
      </c>
      <c r="AO1288" s="110"/>
      <c r="AP1288" s="110"/>
      <c r="AQ1288" s="110"/>
      <c r="AR1288" s="214" t="str">
        <f>IF($AT$1223&gt;0,"у в е л и ч е н и е","н а м а л е н и е")</f>
        <v>н а м а л е н и е</v>
      </c>
      <c r="AS1288" s="215"/>
      <c r="AT1288" s="110" t="s">
        <v>684</v>
      </c>
      <c r="AU1288" s="110"/>
    </row>
    <row r="1289" spans="39:47" ht="16.5" customHeight="1">
      <c r="AM1289" s="110" t="s">
        <v>685</v>
      </c>
      <c r="AN1289" s="110"/>
      <c r="AO1289" s="110"/>
      <c r="AP1289" s="219">
        <f>ABS($AT$1223)</f>
        <v>0.023462399163379704</v>
      </c>
      <c r="AQ1289" s="215" t="s">
        <v>686</v>
      </c>
      <c r="AR1289" s="215"/>
      <c r="AS1289" s="217">
        <f>ABS($AU$1223)</f>
        <v>0.759188031281877</v>
      </c>
      <c r="AT1289" s="110" t="s">
        <v>687</v>
      </c>
      <c r="AU1289" s="110"/>
    </row>
    <row r="1290" spans="39:47" ht="16.5" customHeight="1">
      <c r="AM1290" s="110" t="s">
        <v>688</v>
      </c>
      <c r="AN1290" s="110"/>
      <c r="AO1290" s="110"/>
      <c r="AP1290" s="110"/>
      <c r="AQ1290" s="214" t="str">
        <f>IF($AU$1223&gt;$AU$1158,"изпреварващи","изоставащи")</f>
        <v>изоставащи</v>
      </c>
      <c r="AR1290" s="215"/>
      <c r="AS1290" s="110" t="s">
        <v>689</v>
      </c>
      <c r="AT1290" s="110"/>
      <c r="AU1290" s="110"/>
    </row>
    <row r="1291" spans="39:47" ht="16.5" customHeight="1">
      <c r="AM1291" s="110" t="s">
        <v>690</v>
      </c>
      <c r="AN1291" s="110"/>
      <c r="AO1291" s="215" t="str">
        <f>+$AN$1224</f>
        <v>От увеличаване на</v>
      </c>
      <c r="AP1291" s="215"/>
      <c r="AQ1291" s="215" t="s">
        <v>691</v>
      </c>
      <c r="AR1291" s="220"/>
      <c r="AS1291" s="215"/>
      <c r="AT1291" s="215"/>
      <c r="AU1291" s="215"/>
    </row>
    <row r="1292" spans="39:47" ht="16.5" customHeight="1">
      <c r="AM1292" s="218" t="str">
        <f>IF($AT$1224&gt;0,"увеличава     с","намалява     с")</f>
        <v>намалява     с</v>
      </c>
      <c r="AN1292" s="215"/>
      <c r="AO1292" s="219">
        <f>ABS($AT$1224)</f>
        <v>0.00019650320962247975</v>
      </c>
      <c r="AP1292" s="215" t="s">
        <v>1</v>
      </c>
      <c r="AQ1292" s="215"/>
      <c r="AR1292" s="217">
        <f>ABS($AU$1224)</f>
        <v>0.006358381502890215</v>
      </c>
      <c r="AS1292" s="215" t="str">
        <f>+$AN$1225</f>
        <v>От намаляване  на</v>
      </c>
      <c r="AT1292" s="215"/>
      <c r="AU1292" s="110" t="s">
        <v>2</v>
      </c>
    </row>
    <row r="1293" spans="39:47" ht="16.5" customHeight="1">
      <c r="AM1293" s="110" t="s">
        <v>1527</v>
      </c>
      <c r="AN1293" s="110"/>
      <c r="AO1293" s="110"/>
      <c r="AP1293" s="110"/>
      <c r="AQ1293" s="214" t="str">
        <f>IF(AT1226&gt;0,"увеличава     с","намалява     с")</f>
        <v>намалява     с</v>
      </c>
      <c r="AR1293" s="215"/>
      <c r="AS1293" s="219">
        <f>ABS($AT$1226)</f>
        <v>0.023265895953757224</v>
      </c>
      <c r="AT1293" s="221" t="s">
        <v>1830</v>
      </c>
      <c r="AU1293" s="217">
        <f>ABS($AU$1226)</f>
        <v>0.7528296497789867</v>
      </c>
    </row>
    <row r="1294" spans="39:47" ht="16.5" customHeight="1">
      <c r="AM1294" s="110"/>
      <c r="AN1294" s="110" t="s">
        <v>1831</v>
      </c>
      <c r="AO1294" s="110"/>
      <c r="AP1294" s="110"/>
      <c r="AQ1294" s="110"/>
      <c r="AR1294" s="110"/>
      <c r="AS1294" s="214" t="str">
        <f>IF($AT$1227&gt;0,"се   увеличава   с","се  намалява   с")</f>
        <v>се  намалява   с</v>
      </c>
      <c r="AT1294" s="215"/>
      <c r="AU1294" s="216">
        <f>ABS($AT$1227)</f>
        <v>0.06290435818528034</v>
      </c>
    </row>
    <row r="1295" spans="39:47" ht="16.5" customHeight="1">
      <c r="AM1295" s="110" t="s">
        <v>2449</v>
      </c>
      <c r="AN1295" s="110"/>
      <c r="AO1295" s="217">
        <f>ABS($AU$1227)</f>
        <v>0.8236770665907884</v>
      </c>
      <c r="AP1295" s="215" t="str">
        <f>+$AN$1228</f>
        <v>От увеличаване на</v>
      </c>
      <c r="AQ1295" s="215"/>
      <c r="AR1295" s="110" t="s">
        <v>1832</v>
      </c>
      <c r="AS1295" s="110"/>
      <c r="AT1295" s="110"/>
      <c r="AU1295" s="110"/>
    </row>
    <row r="1296" spans="39:60" ht="16.5" customHeight="1">
      <c r="AM1296" s="218" t="str">
        <f>IF($AT$1228&gt;0,"е  увеличена  с","е  намалена  с")</f>
        <v>е  намалена  с</v>
      </c>
      <c r="AN1296" s="215"/>
      <c r="AO1296" s="219">
        <f>ABS($AT$1228)</f>
        <v>0.020807352040686275</v>
      </c>
      <c r="AP1296" s="215" t="s">
        <v>1</v>
      </c>
      <c r="AQ1296" s="215"/>
      <c r="AR1296" s="217">
        <f>ABS($AU$1228)</f>
        <v>0.2724539155445156</v>
      </c>
      <c r="AS1296" s="215" t="str">
        <f>+$AN$1229</f>
        <v>От намаляване  на</v>
      </c>
      <c r="AT1296" s="215"/>
      <c r="AU1296" s="110" t="s">
        <v>2</v>
      </c>
      <c r="BF1296" s="600" t="str">
        <f>+' -'!$E$21</f>
        <v>Програмата за финансов анализ е лицензирана на:</v>
      </c>
      <c r="BG1296" s="582"/>
      <c r="BH1296" s="582"/>
    </row>
    <row r="1297" spans="39:60" ht="16.5" customHeight="1">
      <c r="AM1297" s="110" t="s">
        <v>1833</v>
      </c>
      <c r="AN1297" s="110"/>
      <c r="AO1297" s="110"/>
      <c r="AP1297" s="110"/>
      <c r="AQ1297" s="214" t="str">
        <f>IF($AT$1230&gt;0,"увеличава     с","намалява     с")</f>
        <v>намалява     с</v>
      </c>
      <c r="AR1297" s="215"/>
      <c r="AS1297" s="219">
        <f>ABS($AT$1230)</f>
        <v>0.042097006144594065</v>
      </c>
      <c r="AT1297" s="221" t="s">
        <v>1830</v>
      </c>
      <c r="AU1297" s="217">
        <f>ABS($AU$1230)</f>
        <v>0.5512231510462728</v>
      </c>
      <c r="BF1297" s="601"/>
      <c r="BG1297" s="10"/>
      <c r="BH1297" s="10"/>
    </row>
    <row r="1298" spans="39:60" ht="16.5" customHeight="1">
      <c r="AM1298" s="110"/>
      <c r="AN1298" s="110" t="s">
        <v>1834</v>
      </c>
      <c r="AO1298" s="110"/>
      <c r="AP1298" s="110"/>
      <c r="AQ1298" s="110"/>
      <c r="AR1298" s="110"/>
      <c r="AS1298" s="214" t="str">
        <f>IF($AT$1231&gt;0,"се  увеличава  с","се  намалява  с")</f>
        <v>се  намалява  с</v>
      </c>
      <c r="AT1298" s="215"/>
      <c r="AU1298" s="216">
        <f>ABS($AT$1231)</f>
        <v>0.01720819598098171</v>
      </c>
      <c r="BF1298" s="600" t="str">
        <f>+' -'!$E$22</f>
        <v>"В И Н З А В О Д"  А Д - гр. АСЕНОВГРАД</v>
      </c>
      <c r="BG1298" s="581"/>
      <c r="BH1298" s="581"/>
    </row>
    <row r="1299" spans="39:47" ht="16.5" customHeight="1">
      <c r="AM1299" s="110" t="s">
        <v>2449</v>
      </c>
      <c r="AN1299" s="110"/>
      <c r="AO1299" s="217">
        <f>ABS($AU$1231)</f>
        <v>0.7821428747402912</v>
      </c>
      <c r="AP1299" s="215" t="str">
        <f>+$AN$1232</f>
        <v>От увеличаване на</v>
      </c>
      <c r="AQ1299" s="215"/>
      <c r="AR1299" s="215" t="s">
        <v>600</v>
      </c>
      <c r="AS1299" s="215"/>
      <c r="AT1299" s="215"/>
      <c r="AU1299" s="215"/>
    </row>
    <row r="1300" spans="39:47" ht="16.5" customHeight="1">
      <c r="AM1300" s="218" t="str">
        <f>IF($AT$1232&gt;0,"е  увеличена  с","е  намалена  с")</f>
        <v>е  намалена  с</v>
      </c>
      <c r="AN1300" s="215"/>
      <c r="AO1300" s="219">
        <f>ABS($AT$1232)</f>
        <v>0.0022237853522879616</v>
      </c>
      <c r="AP1300" s="215" t="s">
        <v>601</v>
      </c>
      <c r="AQ1300" s="215"/>
      <c r="AR1300" s="217">
        <f>ABS($AU$1232)</f>
        <v>0.10107496858858014</v>
      </c>
      <c r="AS1300" s="215" t="str">
        <f>+$AN$1233</f>
        <v>От намаляване  на</v>
      </c>
      <c r="AT1300" s="215"/>
      <c r="AU1300" s="110" t="s">
        <v>2</v>
      </c>
    </row>
    <row r="1301" spans="39:47" ht="16.5" customHeight="1">
      <c r="AM1301" s="110" t="s">
        <v>602</v>
      </c>
      <c r="AN1301" s="110"/>
      <c r="AO1301" s="110"/>
      <c r="AP1301" s="110"/>
      <c r="AQ1301" s="214" t="str">
        <f>IF($AT$1234&gt;0,"увеличава     с","намалява     с")</f>
        <v>намалява     с</v>
      </c>
      <c r="AR1301" s="215"/>
      <c r="AS1301" s="219">
        <f>ABS($AT$1234)</f>
        <v>0.01498441062869375</v>
      </c>
      <c r="AT1301" s="221" t="s">
        <v>1830</v>
      </c>
      <c r="AU1301" s="217">
        <f>ABS($AU$1234)</f>
        <v>0.681067906151711</v>
      </c>
    </row>
    <row r="1302" spans="39:47" ht="16.5" customHeight="1">
      <c r="AM1302" s="110"/>
      <c r="AN1302" s="110" t="s">
        <v>603</v>
      </c>
      <c r="AO1302" s="110"/>
      <c r="AP1302" s="110"/>
      <c r="AQ1302" s="110"/>
      <c r="AR1302" s="110"/>
      <c r="AS1302" s="110"/>
      <c r="AT1302" s="110"/>
      <c r="AU1302" s="110"/>
    </row>
    <row r="1303" spans="39:47" ht="16.5" customHeight="1">
      <c r="AM1303" s="110" t="s">
        <v>1939</v>
      </c>
      <c r="AN1303" s="110"/>
      <c r="AO1303" s="110"/>
      <c r="AP1303" s="110"/>
      <c r="AQ1303" s="110"/>
      <c r="AR1303" s="110"/>
      <c r="AS1303" s="110"/>
      <c r="AT1303" s="110"/>
      <c r="AU1303" s="110"/>
    </row>
    <row r="1304" spans="39:47" ht="16.5" customHeight="1">
      <c r="AM1304" s="110" t="s">
        <v>876</v>
      </c>
      <c r="AN1304" s="110"/>
      <c r="AO1304" s="110"/>
      <c r="AP1304" s="110"/>
      <c r="AQ1304" s="110"/>
      <c r="AR1304" s="110"/>
      <c r="AS1304" s="110"/>
      <c r="AT1304" s="110"/>
      <c r="AU1304" s="110"/>
    </row>
    <row r="1305" spans="39:47" ht="16.5" customHeight="1">
      <c r="AM1305" s="110" t="s">
        <v>955</v>
      </c>
      <c r="AN1305" s="110"/>
      <c r="AO1305" s="110"/>
      <c r="AP1305" s="110"/>
      <c r="AQ1305" s="110"/>
      <c r="AR1305" s="110"/>
      <c r="AS1305" s="110"/>
      <c r="AT1305" s="110"/>
      <c r="AU1305" s="110"/>
    </row>
    <row r="1306" spans="39:48" ht="16.5" customHeight="1">
      <c r="AM1306" s="110" t="s">
        <v>956</v>
      </c>
      <c r="AN1306" s="110"/>
      <c r="AO1306" s="110" t="str">
        <f>AM513</f>
        <v>"В И Н З А В О Д"  А Д - гр. АСЕНОВГРАД</v>
      </c>
      <c r="AP1306" s="608"/>
      <c r="AQ1306" s="110"/>
      <c r="AR1306" s="110"/>
      <c r="AS1306" s="110"/>
      <c r="AT1306" s="110"/>
      <c r="AU1306" s="110"/>
      <c r="AV1306" s="62">
        <f>+' -'!$C$12</f>
      </c>
    </row>
    <row r="1307" spans="39:47" ht="16.5" customHeight="1">
      <c r="AM1307" s="110"/>
      <c r="AN1307" s="110" t="s">
        <v>1940</v>
      </c>
      <c r="AO1307" s="110"/>
      <c r="AP1307" s="110"/>
      <c r="AQ1307" s="110"/>
      <c r="AR1307" s="110"/>
      <c r="AS1307" s="110"/>
      <c r="AT1307" s="110"/>
      <c r="AU1307" s="110"/>
    </row>
    <row r="1308" spans="39:47" ht="16.5" customHeight="1">
      <c r="AM1308" s="223">
        <v>1</v>
      </c>
      <c r="AN1308" s="110" t="s">
        <v>1941</v>
      </c>
      <c r="AO1308" s="110"/>
      <c r="AP1308" s="110"/>
      <c r="AQ1308" s="110"/>
      <c r="AR1308" s="224" t="str">
        <f>IF($AT$1235&gt;0,"расте  с","намалява")</f>
        <v>намалява</v>
      </c>
      <c r="AS1308" s="225">
        <f>ABS($AT$1235)</f>
        <v>0.042331825566588765</v>
      </c>
      <c r="AT1308" s="223" t="s">
        <v>1942</v>
      </c>
      <c r="AU1308" s="222">
        <f>ABS($AU$1235)</f>
        <v>0.040034414525112555</v>
      </c>
    </row>
    <row r="1309" spans="39:47" ht="16.5" customHeight="1">
      <c r="AM1309" s="223">
        <v>2</v>
      </c>
      <c r="AN1309" s="110" t="s">
        <v>1943</v>
      </c>
      <c r="AO1309" s="110"/>
      <c r="AP1309" s="110"/>
      <c r="AQ1309" s="214" t="str">
        <f>IF($AU$1161&gt;$AU$1162,"е   по-бързо   от","е   по-бавно   от")</f>
        <v>е   по-бавно   от</v>
      </c>
      <c r="AR1309" s="215"/>
      <c r="AS1309" s="110" t="s">
        <v>272</v>
      </c>
      <c r="AT1309" s="110"/>
      <c r="AU1309" s="110"/>
    </row>
    <row r="1310" spans="39:47" ht="16.5" customHeight="1">
      <c r="AM1310" s="223">
        <v>3</v>
      </c>
      <c r="AN1310" s="110" t="s">
        <v>1944</v>
      </c>
      <c r="AO1310" s="110"/>
      <c r="AP1310" s="110"/>
      <c r="AQ1310" s="110"/>
      <c r="AR1310" s="224" t="str">
        <f>IF($AT$1238&gt;0,"растат с","намаляват")</f>
        <v>растат с</v>
      </c>
      <c r="AS1310" s="225">
        <f>ABS($AT$1238)</f>
        <v>0.039440671588310994</v>
      </c>
      <c r="AT1310" s="223" t="s">
        <v>1942</v>
      </c>
      <c r="AU1310" s="222">
        <f>ABS($AU$1238)</f>
        <v>0.04170401015501801</v>
      </c>
    </row>
    <row r="1311" spans="39:47" ht="16.5" customHeight="1">
      <c r="AM1311" s="223">
        <v>4</v>
      </c>
      <c r="AN1311" s="110" t="s">
        <v>794</v>
      </c>
      <c r="AO1311" s="110"/>
      <c r="AP1311" s="110"/>
      <c r="AQ1311" s="110"/>
      <c r="AR1311" s="223"/>
      <c r="AS1311" s="110"/>
      <c r="AT1311" s="110"/>
      <c r="AU1311" s="110"/>
    </row>
    <row r="1312" spans="39:47" ht="16.5" customHeight="1">
      <c r="AM1312" s="218" t="str">
        <f>IF($AT$1194&gt;$AT$1193,"приходите.","разходите.")</f>
        <v>приходите.</v>
      </c>
      <c r="AN1312" s="110"/>
      <c r="AO1312" s="110"/>
      <c r="AP1312" s="110"/>
      <c r="AQ1312" s="110"/>
      <c r="AR1312" s="110"/>
      <c r="AS1312" s="110"/>
      <c r="AT1312" s="110"/>
      <c r="AU1312" s="110"/>
    </row>
    <row r="1313" spans="39:47" ht="16.5" customHeight="1">
      <c r="AM1313" s="228"/>
      <c r="AN1313" s="229" t="str">
        <f>IF($AT$1205&lt;0,"     Налице   е   ускоряване   на","     Налице    е  забавяне    на")</f>
        <v>     Налице    е  забавяне    на</v>
      </c>
      <c r="AO1313" s="229"/>
      <c r="AP1313" s="229"/>
      <c r="AQ1313" s="230" t="s">
        <v>795</v>
      </c>
      <c r="AR1313" s="229"/>
      <c r="AS1313" s="229"/>
      <c r="AT1313" s="229"/>
      <c r="AU1313" s="229"/>
    </row>
    <row r="1314" spans="39:47" ht="16.5" customHeight="1">
      <c r="AM1314" s="226">
        <f>ABS($AT$1205)</f>
        <v>56.049386236817895</v>
      </c>
      <c r="AN1314" s="215" t="str">
        <f>IF($AT$1268&gt;0,"дни.   Негативно","дни. Положително")</f>
        <v>дни.   Негативно</v>
      </c>
      <c r="AO1314" s="215"/>
      <c r="AP1314" s="110" t="s">
        <v>609</v>
      </c>
      <c r="AQ1314" s="110"/>
      <c r="AR1314" s="110"/>
      <c r="AS1314" s="110" t="str">
        <f>IF($AT$1268&gt;0,"увеличаването   на","намаляването   на")</f>
        <v>увеличаването   на</v>
      </c>
      <c r="AT1314" s="110"/>
      <c r="AU1314" s="110" t="s">
        <v>610</v>
      </c>
    </row>
    <row r="1315" spans="39:47" ht="16.5" customHeight="1">
      <c r="AM1315" s="218" t="s">
        <v>976</v>
      </c>
      <c r="AN1315" s="231"/>
      <c r="AO1315" s="110"/>
      <c r="AP1315" s="110"/>
      <c r="AQ1315" s="110"/>
      <c r="AR1315" s="110"/>
      <c r="AS1315" s="110"/>
      <c r="AT1315" s="215" t="str">
        <f>+IF($AT$1268&gt;0,"в л о ш е н   с","п о д о б р е н   с")</f>
        <v>в л о ш е н   с</v>
      </c>
      <c r="AU1315" s="215"/>
    </row>
    <row r="1316" spans="39:47" ht="16.5" customHeight="1">
      <c r="AM1316" s="226">
        <f>ABS($AT$1268)</f>
        <v>15.511454448588154</v>
      </c>
      <c r="AN1316" s="215" t="s">
        <v>611</v>
      </c>
      <c r="AO1316" s="215"/>
      <c r="AP1316" s="215" t="str">
        <f>IF($AT$1269&lt;0,"увеличаването  на","намаляването  на")</f>
        <v>намаляването  на</v>
      </c>
      <c r="AQ1316" s="215"/>
      <c r="AR1316" s="110" t="s">
        <v>612</v>
      </c>
      <c r="AS1316" s="110"/>
      <c r="AT1316" s="110"/>
      <c r="AU1316" s="110"/>
    </row>
    <row r="1317" spans="39:47" ht="16.5" customHeight="1">
      <c r="AM1317" s="231" t="str">
        <f>+IF($AT$1269&gt;0,"в л о ш е н    с","подобрен      с")</f>
        <v>в л о ш е н    с</v>
      </c>
      <c r="AN1317" s="215"/>
      <c r="AO1317" s="227">
        <f>ABS($AT$1269)</f>
        <v>40.53793178822974</v>
      </c>
      <c r="AP1317" s="110" t="s">
        <v>613</v>
      </c>
      <c r="AQ1317" s="110"/>
      <c r="AR1317" s="110"/>
      <c r="AS1317" s="110"/>
      <c r="AT1317" s="110"/>
      <c r="AU1317" s="110"/>
    </row>
    <row r="1318" spans="39:47" ht="16.5" customHeight="1">
      <c r="AM1318" s="218"/>
      <c r="AN1318" s="110" t="s">
        <v>614</v>
      </c>
      <c r="AO1318" s="110"/>
      <c r="AP1318" s="110"/>
      <c r="AQ1318" s="110"/>
      <c r="AR1318" s="110"/>
      <c r="AS1318" s="231" t="str">
        <f>IF($AT$1210&lt;0,"ускорение в  събирането на","забавяне   в  събирането   на")</f>
        <v>забавяне   в  събирането   на</v>
      </c>
      <c r="AT1318" s="110"/>
      <c r="AU1318" s="110"/>
    </row>
    <row r="1319" spans="39:47" ht="16.5" customHeight="1">
      <c r="AM1319" s="232" t="s">
        <v>615</v>
      </c>
      <c r="AN1319" s="110"/>
      <c r="AO1319" s="233">
        <f>ABS($AT$1210)</f>
        <v>0.015027033365370812</v>
      </c>
      <c r="AP1319" s="223" t="s">
        <v>616</v>
      </c>
      <c r="AQ1319" s="217">
        <f>ABS($AU$1210)</f>
        <v>0.00020963018674694176</v>
      </c>
      <c r="AR1319" s="215" t="str">
        <f>IF($AT$1175&gt;0," Увеличаването на","Намаляването на")</f>
        <v>Намаляването на</v>
      </c>
      <c r="AS1319" s="215"/>
      <c r="AT1319" s="110" t="s">
        <v>617</v>
      </c>
      <c r="AU1319" s="110"/>
    </row>
    <row r="1320" spans="39:47" ht="16.5" customHeight="1">
      <c r="AM1320" s="110" t="s">
        <v>2001</v>
      </c>
      <c r="AN1320" s="110"/>
      <c r="AO1320" s="110"/>
      <c r="AP1320" s="110" t="str">
        <f>IF($AT$1175&gt;0,"удължава","намалява")</f>
        <v>намалява</v>
      </c>
      <c r="AQ1320" s="110" t="s">
        <v>2002</v>
      </c>
      <c r="AR1320" s="110"/>
      <c r="AS1320" s="233">
        <f>ABS($AT$1277)</f>
        <v>7.815663292488011</v>
      </c>
      <c r="AT1320" s="215" t="s">
        <v>611</v>
      </c>
      <c r="AU1320" s="215"/>
    </row>
    <row r="1321" spans="39:47" ht="16.5" customHeight="1">
      <c r="AM1321" s="231" t="str">
        <f>IF($AT$1157&gt;0," увеличаването    на    приходите    от","намаляването   на  приходите  от")</f>
        <v>намаляването   на  приходите  от</v>
      </c>
      <c r="AN1321" s="110"/>
      <c r="AO1321" s="110"/>
      <c r="AP1321" s="110"/>
      <c r="AQ1321" s="215" t="s">
        <v>2003</v>
      </c>
      <c r="AR1321" s="215"/>
      <c r="AS1321" s="231" t="str">
        <f>IF($AT$1278&lt;0," намалява  времетраенето   с"," увеличава  времетраенето  с")</f>
        <v> увеличава  времетраенето  с</v>
      </c>
      <c r="AT1321" s="110"/>
      <c r="AU1321" s="110"/>
    </row>
    <row r="1322" spans="39:47" ht="16.5" customHeight="1">
      <c r="AM1322" s="226">
        <f>ABS($AT$1278)</f>
        <v>7.830690325853382</v>
      </c>
      <c r="AN1322" s="110" t="s">
        <v>613</v>
      </c>
      <c r="AO1322" s="110"/>
      <c r="AP1322" s="110"/>
      <c r="AQ1322" s="110"/>
      <c r="AR1322" s="110"/>
      <c r="AS1322" s="110"/>
      <c r="AT1322" s="110"/>
      <c r="AU1322" s="110"/>
    </row>
    <row r="1323" spans="39:47" ht="16.5" customHeight="1">
      <c r="AM1323" s="229"/>
      <c r="AN1323" s="229" t="s">
        <v>2004</v>
      </c>
      <c r="AO1323" s="229"/>
      <c r="AP1323" s="229"/>
      <c r="AQ1323" s="229"/>
      <c r="AR1323" s="229"/>
      <c r="AS1323" s="229"/>
      <c r="AT1323" s="229"/>
      <c r="AU1323" s="229"/>
    </row>
    <row r="1324" spans="39:47" ht="16.5" customHeight="1">
      <c r="AM1324" s="229" t="s">
        <v>2005</v>
      </c>
      <c r="AN1324" s="229"/>
      <c r="AO1324" s="229"/>
      <c r="AP1324" s="229"/>
      <c r="AQ1324" s="229"/>
      <c r="AR1324" s="229"/>
      <c r="AS1324" s="229"/>
      <c r="AT1324" s="229"/>
      <c r="AU1324" s="229"/>
    </row>
    <row r="1325" spans="39:47" ht="16.5" customHeight="1">
      <c r="AM1325" s="229" t="s">
        <v>2006</v>
      </c>
      <c r="AN1325" s="229"/>
      <c r="AO1325" s="229"/>
      <c r="AP1325" s="229"/>
      <c r="AQ1325" s="229"/>
      <c r="AR1325" s="229"/>
      <c r="AS1325" s="229"/>
      <c r="AT1325" s="229"/>
      <c r="AU1325" s="229"/>
    </row>
    <row r="1326" spans="39:48" ht="8.25" customHeight="1">
      <c r="AM1326" s="608"/>
      <c r="AN1326" s="608"/>
      <c r="AO1326" s="608"/>
      <c r="AP1326" s="608"/>
      <c r="AQ1326" s="608"/>
      <c r="AR1326" s="608"/>
      <c r="AS1326" s="608"/>
      <c r="AT1326" s="608"/>
      <c r="AU1326" s="608"/>
      <c r="AV1326" s="62">
        <f>+' -'!$B$11</f>
      </c>
    </row>
    <row r="1327" spans="39:47" ht="15.75" customHeight="1">
      <c r="AM1327" s="1016" t="s">
        <v>957</v>
      </c>
      <c r="AN1327" s="1073"/>
      <c r="AO1327" s="1073"/>
      <c r="AP1327" s="1073"/>
      <c r="AQ1327" s="1073"/>
      <c r="AR1327" s="1073"/>
      <c r="AS1327" s="1073"/>
      <c r="AT1327" s="215"/>
      <c r="AU1327" s="229"/>
    </row>
    <row r="1328" spans="39:47" ht="15.75" customHeight="1" thickBot="1">
      <c r="AM1328" s="1016" t="str">
        <f>AM513</f>
        <v>"В И Н З А В О Д"  А Д - гр. АСЕНОВГРАД</v>
      </c>
      <c r="AN1328" s="1073"/>
      <c r="AO1328" s="1073"/>
      <c r="AP1328" s="1073"/>
      <c r="AQ1328" s="1073"/>
      <c r="AR1328" s="1073"/>
      <c r="AS1328" s="1073"/>
      <c r="AT1328" s="215"/>
      <c r="AU1328" s="229"/>
    </row>
    <row r="1329" spans="39:47" ht="15.75" customHeight="1" thickBot="1">
      <c r="AM1329" s="1074" t="s">
        <v>1612</v>
      </c>
      <c r="AN1329" s="1075" t="s">
        <v>1613</v>
      </c>
      <c r="AO1329" s="1076"/>
      <c r="AP1329" s="1076"/>
      <c r="AQ1329" s="1076"/>
      <c r="AR1329" s="1076"/>
      <c r="AS1329" s="1077" t="s">
        <v>705</v>
      </c>
      <c r="AT1329" s="1078" t="s">
        <v>1615</v>
      </c>
      <c r="AU1329" s="229"/>
    </row>
    <row r="1330" spans="39:47" ht="15.75" customHeight="1">
      <c r="AM1330" s="807">
        <v>1</v>
      </c>
      <c r="AN1330" s="799" t="s">
        <v>32</v>
      </c>
      <c r="AO1330" s="789"/>
      <c r="AP1330" s="789"/>
      <c r="AQ1330" s="789"/>
      <c r="AR1330" s="789"/>
      <c r="AS1330" s="1079">
        <f>IF(E20=0,"х",D20/E20)</f>
        <v>0.9696492483894059</v>
      </c>
      <c r="AT1330" s="386">
        <f aca="true" t="shared" si="48" ref="AT1330:AT1373">+AS1330</f>
        <v>0.9696492483894059</v>
      </c>
      <c r="AU1330" s="229"/>
    </row>
    <row r="1331" spans="39:47" ht="15.75" customHeight="1">
      <c r="AM1331" s="807">
        <v>2</v>
      </c>
      <c r="AN1331" s="799" t="s">
        <v>2412</v>
      </c>
      <c r="AO1331" s="789"/>
      <c r="AP1331" s="789"/>
      <c r="AQ1331" s="789"/>
      <c r="AR1331" s="789"/>
      <c r="AS1331" s="1079">
        <f>IF(E26=0,"х",D26/E26)</f>
        <v>0.16666666666666666</v>
      </c>
      <c r="AT1331" s="386">
        <f t="shared" si="48"/>
        <v>0.16666666666666666</v>
      </c>
      <c r="AU1331" s="229"/>
    </row>
    <row r="1332" spans="39:47" ht="15.75" customHeight="1">
      <c r="AM1332" s="807">
        <v>3</v>
      </c>
      <c r="AN1332" s="799" t="s">
        <v>2413</v>
      </c>
      <c r="AO1332" s="789"/>
      <c r="AP1332" s="789"/>
      <c r="AQ1332" s="789"/>
      <c r="AR1332" s="789"/>
      <c r="AS1332" s="1079" t="str">
        <f>IF(E45=0,"х",D45/E45)</f>
        <v>х</v>
      </c>
      <c r="AT1332" s="386" t="str">
        <f t="shared" si="48"/>
        <v>х</v>
      </c>
      <c r="AU1332" s="229"/>
    </row>
    <row r="1333" spans="39:47" ht="15.75" customHeight="1">
      <c r="AM1333" s="807">
        <v>4</v>
      </c>
      <c r="AN1333" s="799" t="s">
        <v>2333</v>
      </c>
      <c r="AO1333" s="789"/>
      <c r="AP1333" s="789"/>
      <c r="AQ1333" s="789"/>
      <c r="AR1333" s="789"/>
      <c r="AS1333" s="1079" t="str">
        <f>IF(E55=0,"х",D55/E55)</f>
        <v>х</v>
      </c>
      <c r="AT1333" s="386" t="str">
        <f t="shared" si="48"/>
        <v>х</v>
      </c>
      <c r="AU1333" s="229"/>
    </row>
    <row r="1334" spans="39:47" ht="15.75" customHeight="1">
      <c r="AM1334" s="807">
        <v>5</v>
      </c>
      <c r="AN1334" s="799" t="s">
        <v>1394</v>
      </c>
      <c r="AO1334" s="789"/>
      <c r="AP1334" s="789"/>
      <c r="AQ1334" s="789"/>
      <c r="AR1334" s="789"/>
      <c r="AS1334" s="1079" t="str">
        <f>IF(E56=0,"х",D56/E56)</f>
        <v>х</v>
      </c>
      <c r="AT1334" s="386" t="str">
        <f t="shared" si="48"/>
        <v>х</v>
      </c>
      <c r="AU1334" s="229"/>
    </row>
    <row r="1335" spans="39:47" ht="15.75" customHeight="1">
      <c r="AM1335" s="807">
        <v>6</v>
      </c>
      <c r="AN1335" s="799" t="str">
        <f>B57</f>
        <v> Активи по отсрочени даници</v>
      </c>
      <c r="AO1335" s="789"/>
      <c r="AP1335" s="789"/>
      <c r="AQ1335" s="789"/>
      <c r="AR1335" s="789"/>
      <c r="AS1335" s="1079" t="str">
        <f>IF(E57=0,"х",D57/E57)</f>
        <v>х</v>
      </c>
      <c r="AT1335" s="386" t="str">
        <f t="shared" si="48"/>
        <v>х</v>
      </c>
      <c r="AU1335" s="229"/>
    </row>
    <row r="1336" spans="39:47" ht="15.75" customHeight="1">
      <c r="AM1336" s="807"/>
      <c r="AN1336" s="799"/>
      <c r="AO1336" s="789"/>
      <c r="AP1336" s="789"/>
      <c r="AQ1336" s="789"/>
      <c r="AR1336" s="1080" t="s">
        <v>1123</v>
      </c>
      <c r="AS1336" s="1079">
        <f>IF(E58=0,"х",D58/E58)</f>
        <v>1.2415963381490487</v>
      </c>
      <c r="AT1336" s="386">
        <f t="shared" si="48"/>
        <v>1.2415963381490487</v>
      </c>
      <c r="AU1336" s="229"/>
    </row>
    <row r="1337" spans="39:47" ht="15.75" customHeight="1">
      <c r="AM1337" s="807">
        <v>6</v>
      </c>
      <c r="AN1337" s="799" t="s">
        <v>916</v>
      </c>
      <c r="AO1337" s="789"/>
      <c r="AP1337" s="789"/>
      <c r="AQ1337" s="789"/>
      <c r="AR1337" s="789"/>
      <c r="AS1337" s="1079">
        <f>IF(E68=0,"х",D68/E68)</f>
        <v>1.0984479610468656</v>
      </c>
      <c r="AT1337" s="386">
        <f t="shared" si="48"/>
        <v>1.0984479610468656</v>
      </c>
      <c r="AU1337" s="229"/>
    </row>
    <row r="1338" spans="39:47" ht="15.75" customHeight="1">
      <c r="AM1338" s="807">
        <v>7</v>
      </c>
      <c r="AN1338" s="799" t="s">
        <v>340</v>
      </c>
      <c r="AO1338" s="789"/>
      <c r="AP1338" s="789"/>
      <c r="AQ1338" s="789"/>
      <c r="AR1338" s="789"/>
      <c r="AS1338" s="1079">
        <f>IF(E78=0,"х",D78/E78)</f>
        <v>0.9903531124863487</v>
      </c>
      <c r="AT1338" s="386">
        <f t="shared" si="48"/>
        <v>0.9903531124863487</v>
      </c>
      <c r="AU1338" s="229"/>
    </row>
    <row r="1339" spans="39:47" ht="15.75" customHeight="1">
      <c r="AM1339" s="807">
        <v>8</v>
      </c>
      <c r="AN1339" s="799" t="s">
        <v>917</v>
      </c>
      <c r="AO1339" s="789"/>
      <c r="AP1339" s="789"/>
      <c r="AQ1339" s="789"/>
      <c r="AR1339" s="789"/>
      <c r="AS1339" s="1079" t="str">
        <f>IF(E88=0,"х",D88/E88)</f>
        <v>х</v>
      </c>
      <c r="AT1339" s="386" t="str">
        <f t="shared" si="48"/>
        <v>х</v>
      </c>
      <c r="AU1339" s="229"/>
    </row>
    <row r="1340" spans="39:47" ht="15.75" customHeight="1">
      <c r="AM1340" s="807">
        <v>9</v>
      </c>
      <c r="AN1340" s="799" t="s">
        <v>564</v>
      </c>
      <c r="AO1340" s="789"/>
      <c r="AP1340" s="789"/>
      <c r="AQ1340" s="789"/>
      <c r="AR1340" s="789"/>
      <c r="AS1340" s="1079">
        <f>IF(E95=0,"х",D95/E95)</f>
        <v>0.5230125523012552</v>
      </c>
      <c r="AT1340" s="386">
        <f t="shared" si="48"/>
        <v>0.5230125523012552</v>
      </c>
      <c r="AU1340" s="229"/>
    </row>
    <row r="1341" spans="39:47" ht="15.75" customHeight="1">
      <c r="AM1341" s="807">
        <v>10</v>
      </c>
      <c r="AN1341" s="799" t="s">
        <v>1394</v>
      </c>
      <c r="AO1341" s="789"/>
      <c r="AP1341" s="789"/>
      <c r="AQ1341" s="789"/>
      <c r="AR1341" s="789"/>
      <c r="AS1341" s="1079">
        <f>IF(E96=0,"х",D96/E96)</f>
        <v>1.1428571428571428</v>
      </c>
      <c r="AT1341" s="386">
        <f t="shared" si="48"/>
        <v>1.1428571428571428</v>
      </c>
      <c r="AU1341" s="229"/>
    </row>
    <row r="1342" spans="39:47" ht="15.75" customHeight="1">
      <c r="AM1342" s="807"/>
      <c r="AN1342" s="799"/>
      <c r="AO1342" s="789"/>
      <c r="AP1342" s="789"/>
      <c r="AQ1342" s="789"/>
      <c r="AR1342" s="1080" t="s">
        <v>1124</v>
      </c>
      <c r="AS1342" s="1079">
        <f>IF(E97=0,"х",D97/E97)</f>
        <v>1.0391854616258316</v>
      </c>
      <c r="AT1342" s="386">
        <f t="shared" si="48"/>
        <v>1.0391854616258316</v>
      </c>
      <c r="AU1342" s="229"/>
    </row>
    <row r="1343" spans="39:47" ht="15.75" customHeight="1">
      <c r="AM1343" s="807">
        <v>11</v>
      </c>
      <c r="AN1343" s="799" t="s">
        <v>555</v>
      </c>
      <c r="AO1343" s="789"/>
      <c r="AP1343" s="789"/>
      <c r="AQ1343" s="789"/>
      <c r="AR1343" s="789"/>
      <c r="AS1343" s="1079">
        <f>IF(E114=0,"х",D114/E114)</f>
        <v>1</v>
      </c>
      <c r="AT1343" s="386">
        <f t="shared" si="48"/>
        <v>1</v>
      </c>
      <c r="AU1343" s="229"/>
    </row>
    <row r="1344" spans="39:47" ht="15.75" customHeight="1">
      <c r="AM1344" s="807">
        <v>12</v>
      </c>
      <c r="AN1344" s="799" t="s">
        <v>1617</v>
      </c>
      <c r="AO1344" s="789"/>
      <c r="AP1344" s="789"/>
      <c r="AQ1344" s="789"/>
      <c r="AR1344" s="789"/>
      <c r="AS1344" s="1079">
        <f>IF(E122=0,"х",D122/E122)</f>
        <v>1.1238670694864048</v>
      </c>
      <c r="AT1344" s="386">
        <f t="shared" si="48"/>
        <v>1.1238670694864048</v>
      </c>
      <c r="AU1344" s="229"/>
    </row>
    <row r="1345" spans="39:47" ht="15.75" customHeight="1">
      <c r="AM1345" s="807">
        <v>13</v>
      </c>
      <c r="AN1345" s="799" t="s">
        <v>1146</v>
      </c>
      <c r="AO1345" s="789"/>
      <c r="AP1345" s="789"/>
      <c r="AQ1345" s="789"/>
      <c r="AR1345" s="789"/>
      <c r="AS1345" s="1079">
        <f>IF(E129=0,"х",D129/E129)</f>
        <v>0.24235294117647058</v>
      </c>
      <c r="AT1345" s="386">
        <f t="shared" si="48"/>
        <v>0.24235294117647058</v>
      </c>
      <c r="AU1345" s="229"/>
    </row>
    <row r="1346" spans="39:47" ht="15.75" customHeight="1">
      <c r="AM1346" s="807"/>
      <c r="AN1346" s="799"/>
      <c r="AO1346" s="789"/>
      <c r="AP1346" s="789"/>
      <c r="AQ1346" s="789"/>
      <c r="AR1346" s="1081" t="s">
        <v>2294</v>
      </c>
      <c r="AS1346" s="1079">
        <f>IF(E130=0,"х",D130/E130)</f>
        <v>1.0063990692262943</v>
      </c>
      <c r="AT1346" s="386">
        <f t="shared" si="48"/>
        <v>1.0063990692262943</v>
      </c>
      <c r="AU1346" s="229"/>
    </row>
    <row r="1347" spans="39:47" ht="15.75" customHeight="1">
      <c r="AM1347" s="807"/>
      <c r="AN1347" s="799"/>
      <c r="AO1347" s="789"/>
      <c r="AP1347" s="789"/>
      <c r="AQ1347" s="789"/>
      <c r="AR1347" s="1081" t="s">
        <v>176</v>
      </c>
      <c r="AS1347" s="1079" t="str">
        <f>IF(E131=0,"х",D131/E131)</f>
        <v>х</v>
      </c>
      <c r="AT1347" s="386" t="str">
        <f t="shared" si="48"/>
        <v>х</v>
      </c>
      <c r="AU1347" s="1082"/>
    </row>
    <row r="1348" spans="39:47" ht="15.75" customHeight="1">
      <c r="AM1348" s="807">
        <v>14</v>
      </c>
      <c r="AN1348" s="799" t="s">
        <v>1212</v>
      </c>
      <c r="AO1348" s="789"/>
      <c r="AP1348" s="789"/>
      <c r="AQ1348" s="789"/>
      <c r="AR1348" s="789"/>
      <c r="AS1348" s="1079">
        <f>IF(E141=0,"х",D141/E141)</f>
        <v>1.68056354226567</v>
      </c>
      <c r="AT1348" s="386">
        <f t="shared" si="48"/>
        <v>1.68056354226567</v>
      </c>
      <c r="AU1348" s="229"/>
    </row>
    <row r="1349" spans="39:47" ht="15.75" customHeight="1">
      <c r="AM1349" s="807">
        <v>15</v>
      </c>
      <c r="AN1349" s="799" t="str">
        <f>B142</f>
        <v> Други нетекущи пасиви</v>
      </c>
      <c r="AO1349" s="789"/>
      <c r="AP1349" s="789"/>
      <c r="AQ1349" s="789"/>
      <c r="AR1349" s="789"/>
      <c r="AS1349" s="1079" t="str">
        <f>IF(E142=0,"х",D142/E142)</f>
        <v>х</v>
      </c>
      <c r="AT1349" s="386" t="str">
        <f t="shared" si="48"/>
        <v>х</v>
      </c>
      <c r="AU1349" s="1082"/>
    </row>
    <row r="1350" spans="39:47" ht="15.75" customHeight="1">
      <c r="AM1350" s="807">
        <v>16</v>
      </c>
      <c r="AN1350" s="799" t="s">
        <v>1004</v>
      </c>
      <c r="AO1350" s="789"/>
      <c r="AP1350" s="789"/>
      <c r="AQ1350" s="789"/>
      <c r="AR1350" s="789"/>
      <c r="AS1350" s="1079" t="str">
        <f>IF(E143=0,"х",D143/E143)</f>
        <v>х</v>
      </c>
      <c r="AT1350" s="386" t="str">
        <f t="shared" si="48"/>
        <v>х</v>
      </c>
      <c r="AU1350" s="229"/>
    </row>
    <row r="1351" spans="39:47" ht="15.75" customHeight="1">
      <c r="AM1351" s="807"/>
      <c r="AN1351" s="799"/>
      <c r="AO1351" s="789"/>
      <c r="AP1351" s="789"/>
      <c r="AQ1351" s="789"/>
      <c r="AR1351" s="1081" t="s">
        <v>1122</v>
      </c>
      <c r="AS1351" s="1079">
        <f>IF(E144=0,"х",D144/E144)</f>
        <v>1.68056354226567</v>
      </c>
      <c r="AT1351" s="386">
        <f t="shared" si="48"/>
        <v>1.68056354226567</v>
      </c>
      <c r="AU1351" s="229"/>
    </row>
    <row r="1352" spans="39:47" ht="15.75" customHeight="1">
      <c r="AM1352" s="807">
        <v>17</v>
      </c>
      <c r="AN1352" s="799" t="s">
        <v>29</v>
      </c>
      <c r="AO1352" s="789"/>
      <c r="AP1352" s="789"/>
      <c r="AQ1352" s="789"/>
      <c r="AR1352" s="789"/>
      <c r="AS1352" s="1079">
        <f>IF(E164=0,"х",D164/E164)</f>
        <v>0.7723577235772358</v>
      </c>
      <c r="AT1352" s="386">
        <f t="shared" si="48"/>
        <v>0.7723577235772358</v>
      </c>
      <c r="AU1352" s="229"/>
    </row>
    <row r="1353" spans="39:47" ht="15.75" customHeight="1">
      <c r="AM1353" s="807">
        <v>18</v>
      </c>
      <c r="AN1353" s="799" t="s">
        <v>1004</v>
      </c>
      <c r="AO1353" s="789"/>
      <c r="AP1353" s="789"/>
      <c r="AQ1353" s="789"/>
      <c r="AR1353" s="789"/>
      <c r="AS1353" s="1079">
        <f>IF(E165=0,"х",D165/E165)</f>
        <v>0.9465095194922938</v>
      </c>
      <c r="AT1353" s="386">
        <f t="shared" si="48"/>
        <v>0.9465095194922938</v>
      </c>
      <c r="AU1353" s="229"/>
    </row>
    <row r="1354" spans="39:47" ht="15.75" customHeight="1">
      <c r="AM1354" s="807"/>
      <c r="AN1354" s="799"/>
      <c r="AO1354" s="789"/>
      <c r="AP1354" s="789"/>
      <c r="AQ1354" s="789"/>
      <c r="AR1354" s="1081" t="s">
        <v>1125</v>
      </c>
      <c r="AS1354" s="1079">
        <f>IF(E166=0,"х",D166/E166)</f>
        <v>0.8643986583612842</v>
      </c>
      <c r="AT1354" s="386">
        <f t="shared" si="48"/>
        <v>0.8643986583612842</v>
      </c>
      <c r="AU1354" s="229"/>
    </row>
    <row r="1355" spans="39:47" ht="15.75" customHeight="1">
      <c r="AM1355" s="807">
        <v>19</v>
      </c>
      <c r="AN1355" s="791" t="s">
        <v>1829</v>
      </c>
      <c r="AO1355" s="789"/>
      <c r="AP1355" s="789"/>
      <c r="AQ1355" s="789"/>
      <c r="AR1355" s="789"/>
      <c r="AS1355" s="1079">
        <f>IF(L185=0,"х",K185/L185)</f>
        <v>1.1344851739434976</v>
      </c>
      <c r="AT1355" s="386">
        <f t="shared" si="48"/>
        <v>1.1344851739434976</v>
      </c>
      <c r="AU1355" s="229"/>
    </row>
    <row r="1356" spans="39:47" ht="15.75" customHeight="1">
      <c r="AM1356" s="807">
        <v>20</v>
      </c>
      <c r="AN1356" s="791" t="s">
        <v>57</v>
      </c>
      <c r="AO1356" s="789"/>
      <c r="AP1356" s="789"/>
      <c r="AQ1356" s="789"/>
      <c r="AR1356" s="789"/>
      <c r="AS1356" s="1079">
        <f>IF(L186=0,"х",K186/L186)</f>
        <v>0.9613899613899614</v>
      </c>
      <c r="AT1356" s="386">
        <f t="shared" si="48"/>
        <v>0.9613899613899614</v>
      </c>
      <c r="AU1356" s="229"/>
    </row>
    <row r="1357" spans="39:47" ht="15.75" customHeight="1">
      <c r="AM1357" s="807">
        <v>21</v>
      </c>
      <c r="AN1357" s="791" t="s">
        <v>859</v>
      </c>
      <c r="AO1357" s="789"/>
      <c r="AP1357" s="789"/>
      <c r="AQ1357" s="789"/>
      <c r="AR1357" s="789"/>
      <c r="AS1357" s="1079">
        <f>IF(L187=0,"х",K187/L187)</f>
        <v>0.9567099567099567</v>
      </c>
      <c r="AT1357" s="386">
        <f t="shared" si="48"/>
        <v>0.9567099567099567</v>
      </c>
      <c r="AU1357" s="229"/>
    </row>
    <row r="1358" spans="39:47" ht="15.75" customHeight="1">
      <c r="AM1358" s="807">
        <v>22</v>
      </c>
      <c r="AN1358" s="791" t="s">
        <v>2198</v>
      </c>
      <c r="AO1358" s="789"/>
      <c r="AP1358" s="789"/>
      <c r="AQ1358" s="789"/>
      <c r="AR1358" s="789"/>
      <c r="AS1358" s="1079">
        <f>IF(L188+L189=0,"х",(K188+K189)/(L188+L189))</f>
        <v>1.118873826903024</v>
      </c>
      <c r="AT1358" s="386">
        <f t="shared" si="48"/>
        <v>1.118873826903024</v>
      </c>
      <c r="AU1358" s="229"/>
    </row>
    <row r="1359" spans="39:47" ht="15.75" customHeight="1">
      <c r="AM1359" s="807">
        <v>23</v>
      </c>
      <c r="AN1359" s="791" t="s">
        <v>199</v>
      </c>
      <c r="AO1359" s="789"/>
      <c r="AP1359" s="789"/>
      <c r="AQ1359" s="789"/>
      <c r="AR1359" s="789"/>
      <c r="AS1359" s="1079">
        <f>IF(L190=0,"х",K190/L190)</f>
        <v>0.4472573839662447</v>
      </c>
      <c r="AT1359" s="386">
        <f t="shared" si="48"/>
        <v>0.4472573839662447</v>
      </c>
      <c r="AU1359" s="229"/>
    </row>
    <row r="1360" spans="39:47" ht="15.75" customHeight="1">
      <c r="AM1360" s="807">
        <v>24</v>
      </c>
      <c r="AN1360" s="799" t="s">
        <v>1345</v>
      </c>
      <c r="AO1360" s="789"/>
      <c r="AP1360" s="789"/>
      <c r="AQ1360" s="789"/>
      <c r="AR1360" s="789"/>
      <c r="AS1360" s="1079">
        <f>IF(L201=0,"х",K201/L201)</f>
        <v>-0.9462875197472354</v>
      </c>
      <c r="AT1360" s="386">
        <f t="shared" si="48"/>
        <v>-0.9462875197472354</v>
      </c>
      <c r="AU1360" s="229"/>
    </row>
    <row r="1361" spans="39:47" ht="15.75" customHeight="1">
      <c r="AM1361" s="807">
        <v>25</v>
      </c>
      <c r="AN1361" s="799" t="s">
        <v>1346</v>
      </c>
      <c r="AO1361" s="789"/>
      <c r="AP1361" s="789"/>
      <c r="AQ1361" s="789"/>
      <c r="AR1361" s="789"/>
      <c r="AS1361" s="1079">
        <f>IF(L208=0,"х",K208/L208)</f>
        <v>1.5177304964539007</v>
      </c>
      <c r="AT1361" s="386">
        <f t="shared" si="48"/>
        <v>1.5177304964539007</v>
      </c>
      <c r="AU1361" s="229"/>
    </row>
    <row r="1362" spans="39:47" ht="15.75" customHeight="1">
      <c r="AM1362" s="807"/>
      <c r="AN1362" s="799"/>
      <c r="AO1362" s="789"/>
      <c r="AP1362" s="789"/>
      <c r="AQ1362" s="789"/>
      <c r="AR1362" s="1081" t="s">
        <v>1126</v>
      </c>
      <c r="AS1362" s="1079">
        <f>IF(L209=0,"х",K209/L209)</f>
        <v>0.9231082180634662</v>
      </c>
      <c r="AT1362" s="386">
        <f t="shared" si="48"/>
        <v>0.9231082180634662</v>
      </c>
      <c r="AU1362" s="229"/>
    </row>
    <row r="1363" spans="39:47" ht="15.75" customHeight="1">
      <c r="AM1363" s="807">
        <v>26</v>
      </c>
      <c r="AN1363" s="803" t="str">
        <f>I211</f>
        <v> Дял на печалбата на асоциирани и съвместни предприятия</v>
      </c>
      <c r="AO1363" s="789"/>
      <c r="AP1363" s="789"/>
      <c r="AQ1363" s="789"/>
      <c r="AR1363" s="1080"/>
      <c r="AS1363" s="1079" t="str">
        <f>IF(L211=0,"х",K211/L211)</f>
        <v>х</v>
      </c>
      <c r="AT1363" s="386" t="str">
        <f t="shared" si="48"/>
        <v>х</v>
      </c>
      <c r="AU1363" s="1082"/>
    </row>
    <row r="1364" spans="39:47" ht="15.75" customHeight="1">
      <c r="AM1364" s="807">
        <v>27</v>
      </c>
      <c r="AN1364" s="799" t="s">
        <v>706</v>
      </c>
      <c r="AO1364" s="789"/>
      <c r="AP1364" s="789"/>
      <c r="AQ1364" s="789"/>
      <c r="AR1364" s="789"/>
      <c r="AS1364" s="1079" t="str">
        <f>IF(L212=0,"х",K212/L212)</f>
        <v>х</v>
      </c>
      <c r="AT1364" s="386" t="str">
        <f t="shared" si="48"/>
        <v>х</v>
      </c>
      <c r="AU1364" s="229"/>
    </row>
    <row r="1365" spans="39:47" ht="15.75" customHeight="1">
      <c r="AM1365" s="807">
        <v>28</v>
      </c>
      <c r="AN1365" s="799" t="s">
        <v>831</v>
      </c>
      <c r="AO1365" s="789"/>
      <c r="AP1365" s="789"/>
      <c r="AQ1365" s="789"/>
      <c r="AR1365" s="789"/>
      <c r="AS1365" s="1079">
        <f>IF(L215=0,"х",K215/L215)</f>
        <v>1.09375</v>
      </c>
      <c r="AT1365" s="386">
        <f t="shared" si="48"/>
        <v>1.09375</v>
      </c>
      <c r="AU1365" s="229"/>
    </row>
    <row r="1366" spans="39:47" ht="15.75" customHeight="1">
      <c r="AM1366" s="807"/>
      <c r="AN1366" s="799"/>
      <c r="AO1366" s="789"/>
      <c r="AP1366" s="789"/>
      <c r="AQ1366" s="789"/>
      <c r="AR1366" s="1080" t="s">
        <v>177</v>
      </c>
      <c r="AS1366" s="1079">
        <f>IF(L222=0,"х",K222/L222)</f>
        <v>0.24235294117647058</v>
      </c>
      <c r="AT1366" s="386">
        <f t="shared" si="48"/>
        <v>0.24235294117647058</v>
      </c>
      <c r="AU1366" s="229"/>
    </row>
    <row r="1367" spans="39:47" ht="15.75" customHeight="1">
      <c r="AM1367" s="807">
        <v>29</v>
      </c>
      <c r="AN1367" s="799" t="s">
        <v>832</v>
      </c>
      <c r="AO1367" s="789"/>
      <c r="AP1367" s="789"/>
      <c r="AQ1367" s="789"/>
      <c r="AR1367" s="789"/>
      <c r="AS1367" s="1079">
        <f>IF(L235=0,"х",K235/L235)</f>
        <v>0.8907831646244007</v>
      </c>
      <c r="AT1367" s="386">
        <f t="shared" si="48"/>
        <v>0.8907831646244007</v>
      </c>
      <c r="AU1367" s="229"/>
    </row>
    <row r="1368" spans="39:47" ht="15.75" customHeight="1">
      <c r="AM1368" s="807">
        <v>30</v>
      </c>
      <c r="AN1368" s="799" t="s">
        <v>833</v>
      </c>
      <c r="AO1368" s="789"/>
      <c r="AP1368" s="789"/>
      <c r="AQ1368" s="789"/>
      <c r="AR1368" s="789"/>
      <c r="AS1368" s="1079">
        <f>IF(L236=0,"х",K236/L236)</f>
        <v>0.2260061919504644</v>
      </c>
      <c r="AT1368" s="386">
        <f t="shared" si="48"/>
        <v>0.2260061919504644</v>
      </c>
      <c r="AU1368" s="229"/>
    </row>
    <row r="1369" spans="39:47" ht="15.75" customHeight="1">
      <c r="AM1369" s="807">
        <v>31</v>
      </c>
      <c r="AN1369" s="799" t="s">
        <v>707</v>
      </c>
      <c r="AO1369" s="789"/>
      <c r="AP1369" s="789"/>
      <c r="AQ1369" s="789"/>
      <c r="AR1369" s="789"/>
      <c r="AS1369" s="1079" t="str">
        <f>IF(L246=0,"х",K246/L246)</f>
        <v>х</v>
      </c>
      <c r="AT1369" s="386" t="str">
        <f t="shared" si="48"/>
        <v>х</v>
      </c>
      <c r="AU1369" s="229"/>
    </row>
    <row r="1370" spans="39:47" ht="15.75" customHeight="1">
      <c r="AM1370" s="807"/>
      <c r="AN1370" s="799"/>
      <c r="AO1370" s="789"/>
      <c r="AP1370" s="789"/>
      <c r="AQ1370" s="789"/>
      <c r="AR1370" s="1081" t="s">
        <v>834</v>
      </c>
      <c r="AS1370" s="1079">
        <f>IF(L247=0,"х",K247/L247)</f>
        <v>0.886859915719576</v>
      </c>
      <c r="AT1370" s="386">
        <f t="shared" si="48"/>
        <v>0.886859915719576</v>
      </c>
      <c r="AU1370" s="229"/>
    </row>
    <row r="1371" spans="39:47" ht="15.75" customHeight="1">
      <c r="AM1371" s="807">
        <v>32</v>
      </c>
      <c r="AN1371" s="803" t="str">
        <f>I249</f>
        <v> Дял на загубата на асоциирани и съвместни предприятия</v>
      </c>
      <c r="AO1371" s="789"/>
      <c r="AP1371" s="789"/>
      <c r="AQ1371" s="789"/>
      <c r="AR1371" s="1080"/>
      <c r="AS1371" s="1079" t="str">
        <f>IF(L249=0,"х",K249/L249)</f>
        <v>х</v>
      </c>
      <c r="AT1371" s="386" t="str">
        <f t="shared" si="48"/>
        <v>х</v>
      </c>
      <c r="AU1371" s="1082"/>
    </row>
    <row r="1372" spans="39:47" ht="15.75" customHeight="1">
      <c r="AM1372" s="807">
        <v>33</v>
      </c>
      <c r="AN1372" s="799" t="s">
        <v>708</v>
      </c>
      <c r="AO1372" s="789"/>
      <c r="AP1372" s="789"/>
      <c r="AQ1372" s="789"/>
      <c r="AR1372" s="789"/>
      <c r="AS1372" s="1079" t="str">
        <f>IF(L250=0,"х",K250/L250)</f>
        <v>х</v>
      </c>
      <c r="AT1372" s="386" t="str">
        <f t="shared" si="48"/>
        <v>х</v>
      </c>
      <c r="AU1372" s="229"/>
    </row>
    <row r="1373" spans="39:47" ht="15.75" customHeight="1">
      <c r="AM1373" s="807"/>
      <c r="AN1373" s="799"/>
      <c r="AO1373" s="789"/>
      <c r="AP1373" s="789"/>
      <c r="AQ1373" s="789"/>
      <c r="AR1373" s="1080" t="s">
        <v>1997</v>
      </c>
      <c r="AS1373" s="1079" t="str">
        <f>IF(L257=0,"х",K257/L257)</f>
        <v>х</v>
      </c>
      <c r="AT1373" s="386" t="str">
        <f t="shared" si="48"/>
        <v>х</v>
      </c>
      <c r="AU1373" s="229"/>
    </row>
    <row r="1374" spans="39:48" ht="5.25" customHeight="1">
      <c r="AM1374" s="1083"/>
      <c r="AN1374" s="229"/>
      <c r="AO1374" s="229"/>
      <c r="AP1374" s="229"/>
      <c r="AQ1374" s="229"/>
      <c r="AR1374" s="229"/>
      <c r="AS1374" s="824"/>
      <c r="AT1374" s="825"/>
      <c r="AU1374" s="666"/>
      <c r="AV1374" s="62">
        <f>+' -'!$B$11</f>
      </c>
    </row>
    <row r="1375" spans="39:47" ht="15" customHeight="1">
      <c r="AM1375" s="1016" t="s">
        <v>1231</v>
      </c>
      <c r="AN1375" s="1017"/>
      <c r="AO1375" s="1017"/>
      <c r="AP1375" s="1017"/>
      <c r="AQ1375" s="1017"/>
      <c r="AR1375" s="1017"/>
      <c r="AS1375" s="1017"/>
      <c r="AT1375" s="214"/>
      <c r="AU1375" s="608"/>
    </row>
    <row r="1376" spans="39:47" ht="15" customHeight="1" thickBot="1">
      <c r="AM1376" s="1016" t="str">
        <f>AM513</f>
        <v>"В И Н З А В О Д"  А Д - гр. АСЕНОВГРАД</v>
      </c>
      <c r="AN1376" s="1017"/>
      <c r="AO1376" s="1017"/>
      <c r="AP1376" s="1017"/>
      <c r="AQ1376" s="1017"/>
      <c r="AR1376" s="1017"/>
      <c r="AS1376" s="1017"/>
      <c r="AT1376" s="214"/>
      <c r="AU1376" s="1018" t="s">
        <v>1610</v>
      </c>
    </row>
    <row r="1377" spans="39:47" ht="15" customHeight="1">
      <c r="AM1377" s="872"/>
      <c r="AN1377" s="940"/>
      <c r="AO1377" s="941"/>
      <c r="AP1377" s="941"/>
      <c r="AQ1377" s="941"/>
      <c r="AR1377" s="829" t="str">
        <f>$P$275</f>
        <v>Текущ период</v>
      </c>
      <c r="AS1377" s="830"/>
      <c r="AT1377" s="1508" t="str">
        <f>$S$275</f>
        <v>Предходен период</v>
      </c>
      <c r="AU1377" s="1522"/>
    </row>
    <row r="1378" spans="39:47" ht="15" customHeight="1" thickBot="1">
      <c r="AM1378" s="833" t="s">
        <v>1612</v>
      </c>
      <c r="AN1378" s="1084" t="s">
        <v>1613</v>
      </c>
      <c r="AO1378" s="943"/>
      <c r="AP1378" s="943"/>
      <c r="AQ1378" s="943"/>
      <c r="AR1378" s="944" t="s">
        <v>1614</v>
      </c>
      <c r="AS1378" s="954" t="s">
        <v>1615</v>
      </c>
      <c r="AT1378" s="944" t="s">
        <v>1614</v>
      </c>
      <c r="AU1378" s="945" t="s">
        <v>1615</v>
      </c>
    </row>
    <row r="1379" spans="39:47" ht="15" customHeight="1">
      <c r="AM1379" s="1085"/>
      <c r="AN1379" s="1086" t="s">
        <v>710</v>
      </c>
      <c r="AO1379" s="865"/>
      <c r="AP1379" s="865"/>
      <c r="AQ1379" s="865"/>
      <c r="AR1379" s="209"/>
      <c r="AS1379" s="912"/>
      <c r="AT1379" s="209"/>
      <c r="AU1379" s="103"/>
    </row>
    <row r="1380" spans="39:47" ht="15" customHeight="1">
      <c r="AM1380" s="1030">
        <v>1</v>
      </c>
      <c r="AN1380" s="789" t="s">
        <v>32</v>
      </c>
      <c r="AO1380" s="865"/>
      <c r="AP1380" s="865"/>
      <c r="AQ1380" s="865"/>
      <c r="AR1380" s="97">
        <f>D20</f>
        <v>6773</v>
      </c>
      <c r="AS1380" s="912">
        <f aca="true" t="shared" si="49" ref="AS1380:AS1390">+AR1380/$AR$1390</f>
        <v>0.31518451300665457</v>
      </c>
      <c r="AT1380" s="97">
        <f>E20</f>
        <v>6985</v>
      </c>
      <c r="AU1380" s="103">
        <f aca="true" t="shared" si="50" ref="AU1380:AU1390">+AT1380/$AT$1390</f>
        <v>0.36159859191385824</v>
      </c>
    </row>
    <row r="1381" spans="39:47" ht="15" customHeight="1">
      <c r="AM1381" s="1030">
        <v>2</v>
      </c>
      <c r="AN1381" s="789" t="s">
        <v>2412</v>
      </c>
      <c r="AO1381" s="789"/>
      <c r="AP1381" s="789"/>
      <c r="AQ1381" s="789"/>
      <c r="AR1381" s="97">
        <f>D26</f>
        <v>1</v>
      </c>
      <c r="AS1381" s="912">
        <f t="shared" si="49"/>
        <v>4.653543673507376E-05</v>
      </c>
      <c r="AT1381" s="97">
        <f>E26</f>
        <v>6</v>
      </c>
      <c r="AU1381" s="103">
        <f t="shared" si="50"/>
        <v>0.00031060723714862557</v>
      </c>
    </row>
    <row r="1382" spans="39:47" ht="15" customHeight="1">
      <c r="AM1382" s="1030">
        <v>3</v>
      </c>
      <c r="AN1382" s="791" t="s">
        <v>2413</v>
      </c>
      <c r="AO1382" s="792"/>
      <c r="AP1382" s="792"/>
      <c r="AQ1382" s="793"/>
      <c r="AR1382" s="97">
        <f>D45</f>
        <v>1906</v>
      </c>
      <c r="AS1382" s="912">
        <f t="shared" si="49"/>
        <v>0.08869654241705058</v>
      </c>
      <c r="AT1382" s="97">
        <f>E45</f>
        <v>0</v>
      </c>
      <c r="AU1382" s="103">
        <f t="shared" si="50"/>
        <v>0</v>
      </c>
    </row>
    <row r="1383" spans="39:47" ht="15" customHeight="1">
      <c r="AM1383" s="1030">
        <v>4</v>
      </c>
      <c r="AN1383" s="791" t="s">
        <v>2333</v>
      </c>
      <c r="AO1383" s="792"/>
      <c r="AP1383" s="792"/>
      <c r="AQ1383" s="793"/>
      <c r="AR1383" s="97">
        <f>D55</f>
        <v>0</v>
      </c>
      <c r="AS1383" s="912">
        <f t="shared" si="49"/>
        <v>0</v>
      </c>
      <c r="AT1383" s="97">
        <f>E55</f>
        <v>0</v>
      </c>
      <c r="AU1383" s="103">
        <f t="shared" si="50"/>
        <v>0</v>
      </c>
    </row>
    <row r="1384" spans="39:48" ht="15" customHeight="1">
      <c r="AM1384" s="1030">
        <v>5</v>
      </c>
      <c r="AN1384" s="791" t="str">
        <f>B57</f>
        <v> Активи по отсрочени даници</v>
      </c>
      <c r="AO1384" s="792"/>
      <c r="AP1384" s="792"/>
      <c r="AQ1384" s="793"/>
      <c r="AR1384" s="97">
        <f>D57</f>
        <v>0</v>
      </c>
      <c r="AS1384" s="912">
        <f t="shared" si="49"/>
        <v>0</v>
      </c>
      <c r="AT1384" s="97">
        <f>E57</f>
        <v>0</v>
      </c>
      <c r="AU1384" s="103">
        <f t="shared" si="50"/>
        <v>0</v>
      </c>
      <c r="AV1384" s="64"/>
    </row>
    <row r="1385" spans="39:47" ht="15" customHeight="1">
      <c r="AM1385" s="1030">
        <v>6</v>
      </c>
      <c r="AN1385" s="791" t="s">
        <v>916</v>
      </c>
      <c r="AO1385" s="792"/>
      <c r="AP1385" s="792"/>
      <c r="AQ1385" s="793"/>
      <c r="AR1385" s="97">
        <f>D68</f>
        <v>7219</v>
      </c>
      <c r="AS1385" s="912">
        <f t="shared" si="49"/>
        <v>0.33593931779049746</v>
      </c>
      <c r="AT1385" s="97">
        <f>E68</f>
        <v>6572</v>
      </c>
      <c r="AU1385" s="103">
        <f t="shared" si="50"/>
        <v>0.3402184604234612</v>
      </c>
    </row>
    <row r="1386" spans="39:47" ht="15" customHeight="1">
      <c r="AM1386" s="1030">
        <v>7</v>
      </c>
      <c r="AN1386" s="791" t="s">
        <v>340</v>
      </c>
      <c r="AO1386" s="792"/>
      <c r="AP1386" s="792"/>
      <c r="AQ1386" s="793"/>
      <c r="AR1386" s="97">
        <f>D78</f>
        <v>5441</v>
      </c>
      <c r="AS1386" s="912">
        <f t="shared" si="49"/>
        <v>0.2531993112755363</v>
      </c>
      <c r="AT1386" s="97">
        <f>E78</f>
        <v>5494</v>
      </c>
      <c r="AU1386" s="103">
        <f t="shared" si="50"/>
        <v>0.2844126934824248</v>
      </c>
    </row>
    <row r="1387" spans="39:47" ht="15" customHeight="1">
      <c r="AM1387" s="1030">
        <v>8</v>
      </c>
      <c r="AN1387" s="791" t="s">
        <v>857</v>
      </c>
      <c r="AO1387" s="792"/>
      <c r="AP1387" s="792"/>
      <c r="AQ1387" s="793"/>
      <c r="AR1387" s="97">
        <f>D88</f>
        <v>0</v>
      </c>
      <c r="AS1387" s="912">
        <f t="shared" si="49"/>
        <v>0</v>
      </c>
      <c r="AT1387" s="97">
        <f>E88</f>
        <v>0</v>
      </c>
      <c r="AU1387" s="103">
        <f t="shared" si="50"/>
        <v>0</v>
      </c>
    </row>
    <row r="1388" spans="39:47" ht="15" customHeight="1">
      <c r="AM1388" s="1030">
        <v>9</v>
      </c>
      <c r="AN1388" s="791" t="s">
        <v>1694</v>
      </c>
      <c r="AO1388" s="792"/>
      <c r="AP1388" s="792"/>
      <c r="AQ1388" s="793"/>
      <c r="AR1388" s="97">
        <f>D95</f>
        <v>125</v>
      </c>
      <c r="AS1388" s="912">
        <f t="shared" si="49"/>
        <v>0.00581692959188422</v>
      </c>
      <c r="AT1388" s="97">
        <f>E95</f>
        <v>239</v>
      </c>
      <c r="AU1388" s="103">
        <f t="shared" si="50"/>
        <v>0.012372521613086919</v>
      </c>
    </row>
    <row r="1389" spans="39:47" ht="15" customHeight="1">
      <c r="AM1389" s="1030">
        <v>10</v>
      </c>
      <c r="AN1389" s="791" t="s">
        <v>1394</v>
      </c>
      <c r="AO1389" s="792"/>
      <c r="AP1389" s="792"/>
      <c r="AQ1389" s="793"/>
      <c r="AR1389" s="97">
        <f>D56+D96</f>
        <v>24</v>
      </c>
      <c r="AS1389" s="912">
        <f t="shared" si="49"/>
        <v>0.0011168504816417703</v>
      </c>
      <c r="AT1389" s="97">
        <f>E56+E96</f>
        <v>21</v>
      </c>
      <c r="AU1389" s="103">
        <f t="shared" si="50"/>
        <v>0.0010871253300201895</v>
      </c>
    </row>
    <row r="1390" spans="39:47" ht="15" customHeight="1">
      <c r="AM1390" s="802"/>
      <c r="AN1390" s="791"/>
      <c r="AO1390" s="792"/>
      <c r="AP1390" s="792"/>
      <c r="AQ1390" s="1087" t="s">
        <v>711</v>
      </c>
      <c r="AR1390" s="97">
        <f>D98</f>
        <v>21489</v>
      </c>
      <c r="AS1390" s="912">
        <f t="shared" si="49"/>
        <v>1</v>
      </c>
      <c r="AT1390" s="97">
        <f>E98</f>
        <v>19317</v>
      </c>
      <c r="AU1390" s="103">
        <f t="shared" si="50"/>
        <v>1</v>
      </c>
    </row>
    <row r="1391" spans="39:47" ht="15" customHeight="1">
      <c r="AM1391" s="1088"/>
      <c r="AN1391" s="1089" t="s">
        <v>712</v>
      </c>
      <c r="AO1391" s="1090"/>
      <c r="AP1391" s="1090"/>
      <c r="AQ1391" s="1091"/>
      <c r="AR1391" s="97"/>
      <c r="AS1391" s="97"/>
      <c r="AT1391" s="97"/>
      <c r="AU1391" s="1032"/>
    </row>
    <row r="1392" spans="39:47" ht="15" customHeight="1">
      <c r="AM1392" s="1030">
        <v>1</v>
      </c>
      <c r="AN1392" s="791" t="s">
        <v>555</v>
      </c>
      <c r="AO1392" s="792"/>
      <c r="AP1392" s="792"/>
      <c r="AQ1392" s="793"/>
      <c r="AR1392" s="97">
        <f>D114</f>
        <v>10017</v>
      </c>
      <c r="AS1392" s="845">
        <f aca="true" t="shared" si="51" ref="AS1392:AS1399">+AR1392/$AR$1399</f>
        <v>0.46614546977523386</v>
      </c>
      <c r="AT1392" s="97">
        <f>E114</f>
        <v>10017</v>
      </c>
      <c r="AU1392" s="95">
        <f aca="true" t="shared" si="52" ref="AU1392:AU1399">+AT1392/$AT$1399</f>
        <v>0.5185587824196304</v>
      </c>
    </row>
    <row r="1393" spans="39:47" ht="15" customHeight="1">
      <c r="AM1393" s="1030">
        <v>2</v>
      </c>
      <c r="AN1393" s="791" t="s">
        <v>1617</v>
      </c>
      <c r="AO1393" s="792"/>
      <c r="AP1393" s="792"/>
      <c r="AQ1393" s="793"/>
      <c r="AR1393" s="97">
        <f>D122</f>
        <v>3720</v>
      </c>
      <c r="AS1393" s="845">
        <f t="shared" si="51"/>
        <v>0.1731118246544744</v>
      </c>
      <c r="AT1393" s="97">
        <f>E122</f>
        <v>3310</v>
      </c>
      <c r="AU1393" s="95">
        <f t="shared" si="52"/>
        <v>0.1713516591603251</v>
      </c>
    </row>
    <row r="1394" spans="39:47" ht="15" customHeight="1">
      <c r="AM1394" s="1030">
        <v>3</v>
      </c>
      <c r="AN1394" s="791" t="s">
        <v>1146</v>
      </c>
      <c r="AO1394" s="792"/>
      <c r="AP1394" s="792"/>
      <c r="AQ1394" s="793"/>
      <c r="AR1394" s="97">
        <f>D129</f>
        <v>103</v>
      </c>
      <c r="AS1394" s="845">
        <f t="shared" si="51"/>
        <v>0.0047931499837125975</v>
      </c>
      <c r="AT1394" s="97">
        <f>E129</f>
        <v>425</v>
      </c>
      <c r="AU1394" s="95">
        <f t="shared" si="52"/>
        <v>0.02200134596469431</v>
      </c>
    </row>
    <row r="1395" spans="39:47" ht="15" customHeight="1">
      <c r="AM1395" s="1030">
        <v>4</v>
      </c>
      <c r="AN1395" s="791" t="s">
        <v>396</v>
      </c>
      <c r="AO1395" s="792"/>
      <c r="AP1395" s="792"/>
      <c r="AQ1395" s="793"/>
      <c r="AR1395" s="97">
        <f>D131</f>
        <v>0</v>
      </c>
      <c r="AS1395" s="845">
        <f t="shared" si="51"/>
        <v>0</v>
      </c>
      <c r="AT1395" s="97">
        <f>E131</f>
        <v>0</v>
      </c>
      <c r="AU1395" s="95">
        <f t="shared" si="52"/>
        <v>0</v>
      </c>
    </row>
    <row r="1396" spans="39:47" ht="15" customHeight="1">
      <c r="AM1396" s="1030">
        <v>5</v>
      </c>
      <c r="AN1396" s="791" t="s">
        <v>1212</v>
      </c>
      <c r="AO1396" s="792"/>
      <c r="AP1396" s="792"/>
      <c r="AQ1396" s="793"/>
      <c r="AR1396" s="97">
        <f>D141</f>
        <v>5845</v>
      </c>
      <c r="AS1396" s="845">
        <f t="shared" si="51"/>
        <v>0.2719996277165061</v>
      </c>
      <c r="AT1396" s="97">
        <f>E141</f>
        <v>3478</v>
      </c>
      <c r="AU1396" s="95">
        <f t="shared" si="52"/>
        <v>0.18004866180048662</v>
      </c>
    </row>
    <row r="1397" spans="39:58" ht="15" customHeight="1">
      <c r="AM1397" s="1030">
        <v>6</v>
      </c>
      <c r="AN1397" s="791" t="s">
        <v>29</v>
      </c>
      <c r="AO1397" s="792"/>
      <c r="AP1397" s="792"/>
      <c r="AQ1397" s="793"/>
      <c r="AR1397" s="97">
        <f>D164</f>
        <v>760</v>
      </c>
      <c r="AS1397" s="845">
        <f t="shared" si="51"/>
        <v>0.03536693191865606</v>
      </c>
      <c r="AT1397" s="97">
        <f>E164</f>
        <v>984</v>
      </c>
      <c r="AU1397" s="95">
        <f t="shared" si="52"/>
        <v>0.05093958689237459</v>
      </c>
      <c r="BF1397" s="112"/>
    </row>
    <row r="1398" spans="39:47" ht="15" customHeight="1">
      <c r="AM1398" s="1030">
        <v>7</v>
      </c>
      <c r="AN1398" s="799" t="s">
        <v>858</v>
      </c>
      <c r="AO1398" s="792"/>
      <c r="AP1398" s="792"/>
      <c r="AQ1398" s="793"/>
      <c r="AR1398" s="97">
        <f>D143+D165</f>
        <v>1044</v>
      </c>
      <c r="AS1398" s="845">
        <f t="shared" si="51"/>
        <v>0.048582995951417005</v>
      </c>
      <c r="AT1398" s="97">
        <f>E143+E165</f>
        <v>1103</v>
      </c>
      <c r="AU1398" s="95">
        <f t="shared" si="52"/>
        <v>0.057099963762489</v>
      </c>
    </row>
    <row r="1399" spans="39:47" ht="15" customHeight="1">
      <c r="AM1399" s="802"/>
      <c r="AN1399" s="791"/>
      <c r="AO1399" s="792"/>
      <c r="AP1399" s="792"/>
      <c r="AQ1399" s="1087" t="s">
        <v>713</v>
      </c>
      <c r="AR1399" s="97">
        <f>D167</f>
        <v>21489</v>
      </c>
      <c r="AS1399" s="845">
        <f t="shared" si="51"/>
        <v>1</v>
      </c>
      <c r="AT1399" s="97">
        <f>E167</f>
        <v>19317</v>
      </c>
      <c r="AU1399" s="95">
        <f t="shared" si="52"/>
        <v>1</v>
      </c>
    </row>
    <row r="1400" spans="39:47" ht="15" customHeight="1">
      <c r="AM1400" s="1088"/>
      <c r="AN1400" s="1089" t="s">
        <v>714</v>
      </c>
      <c r="AO1400" s="1090"/>
      <c r="AP1400" s="1090"/>
      <c r="AQ1400" s="1091"/>
      <c r="AR1400" s="97"/>
      <c r="AS1400" s="97"/>
      <c r="AT1400" s="97"/>
      <c r="AU1400" s="1032"/>
    </row>
    <row r="1401" spans="39:47" ht="15" customHeight="1">
      <c r="AM1401" s="1030">
        <v>1</v>
      </c>
      <c r="AN1401" s="791" t="s">
        <v>1829</v>
      </c>
      <c r="AO1401" s="792"/>
      <c r="AP1401" s="792"/>
      <c r="AQ1401" s="793"/>
      <c r="AR1401" s="97">
        <f>K185</f>
        <v>4859</v>
      </c>
      <c r="AS1401" s="845">
        <f>+AR1401/$AR$1413</f>
        <v>0.6996400287976962</v>
      </c>
      <c r="AT1401" s="97">
        <f>L185</f>
        <v>4283</v>
      </c>
      <c r="AU1401" s="95">
        <f>+AT1401/$AT$1413</f>
        <v>0.5469288724300856</v>
      </c>
    </row>
    <row r="1402" spans="39:47" ht="15" customHeight="1">
      <c r="AM1402" s="1030">
        <v>2</v>
      </c>
      <c r="AN1402" s="791" t="s">
        <v>57</v>
      </c>
      <c r="AO1402" s="792"/>
      <c r="AP1402" s="792"/>
      <c r="AQ1402" s="793"/>
      <c r="AR1402" s="97">
        <f>K186</f>
        <v>498</v>
      </c>
      <c r="AS1402" s="845">
        <f aca="true" t="shared" si="53" ref="AS1402:AS1413">+AR1402/$AR$1413</f>
        <v>0.07170626349892009</v>
      </c>
      <c r="AT1402" s="97">
        <f>L186</f>
        <v>518</v>
      </c>
      <c r="AU1402" s="95">
        <f aca="true" t="shared" si="54" ref="AU1402:AU1413">+AT1402/$AT$1413</f>
        <v>0.06614736304431107</v>
      </c>
    </row>
    <row r="1403" spans="39:60" ht="15" customHeight="1">
      <c r="AM1403" s="1030">
        <v>3</v>
      </c>
      <c r="AN1403" s="791" t="s">
        <v>859</v>
      </c>
      <c r="AO1403" s="792"/>
      <c r="AP1403" s="792"/>
      <c r="AQ1403" s="793"/>
      <c r="AR1403" s="97">
        <f>K187</f>
        <v>442</v>
      </c>
      <c r="AS1403" s="845">
        <f t="shared" si="53"/>
        <v>0.06364290856731461</v>
      </c>
      <c r="AT1403" s="97">
        <f>L187</f>
        <v>462</v>
      </c>
      <c r="AU1403" s="95">
        <f t="shared" si="54"/>
        <v>0.05899629676925042</v>
      </c>
      <c r="BF1403" s="600" t="str">
        <f>+' -'!$E$21</f>
        <v>Програмата за финансов анализ е лицензирана на:</v>
      </c>
      <c r="BG1403" s="582"/>
      <c r="BH1403" s="582"/>
    </row>
    <row r="1404" spans="39:60" ht="15" customHeight="1">
      <c r="AM1404" s="1030">
        <v>4</v>
      </c>
      <c r="AN1404" s="791" t="s">
        <v>2198</v>
      </c>
      <c r="AO1404" s="792"/>
      <c r="AP1404" s="792"/>
      <c r="AQ1404" s="793"/>
      <c r="AR1404" s="97">
        <f>K188+K189</f>
        <v>1073</v>
      </c>
      <c r="AS1404" s="845">
        <f t="shared" si="53"/>
        <v>0.1544996400287977</v>
      </c>
      <c r="AT1404" s="97">
        <f>L188+L189</f>
        <v>959</v>
      </c>
      <c r="AU1404" s="95">
        <f t="shared" si="54"/>
        <v>0.12246200996041375</v>
      </c>
      <c r="BF1404" s="601"/>
      <c r="BG1404" s="10"/>
      <c r="BH1404" s="10"/>
    </row>
    <row r="1405" spans="39:60" ht="15" customHeight="1">
      <c r="AM1405" s="1030">
        <v>5</v>
      </c>
      <c r="AN1405" s="791" t="s">
        <v>1345</v>
      </c>
      <c r="AO1405" s="792"/>
      <c r="AP1405" s="792"/>
      <c r="AQ1405" s="793"/>
      <c r="AR1405" s="97">
        <f>K201</f>
        <v>-599</v>
      </c>
      <c r="AS1405" s="845">
        <f t="shared" si="53"/>
        <v>-0.08624910007199424</v>
      </c>
      <c r="AT1405" s="97">
        <f>L201</f>
        <v>633</v>
      </c>
      <c r="AU1405" s="95">
        <f t="shared" si="54"/>
        <v>0.08083258843059635</v>
      </c>
      <c r="BF1405" s="600" t="str">
        <f>+' -'!$E$22</f>
        <v>"В И Н З А В О Д"  А Д - гр. АСЕНОВГРАД</v>
      </c>
      <c r="BG1405" s="581"/>
      <c r="BH1405" s="581"/>
    </row>
    <row r="1406" spans="39:47" ht="15" customHeight="1">
      <c r="AM1406" s="1030">
        <v>6</v>
      </c>
      <c r="AN1406" s="791" t="s">
        <v>1346</v>
      </c>
      <c r="AO1406" s="792"/>
      <c r="AP1406" s="792"/>
      <c r="AQ1406" s="793"/>
      <c r="AR1406" s="97">
        <f>K208</f>
        <v>428</v>
      </c>
      <c r="AS1406" s="845">
        <f t="shared" si="53"/>
        <v>0.061627069834413246</v>
      </c>
      <c r="AT1406" s="97">
        <f>L208</f>
        <v>282</v>
      </c>
      <c r="AU1406" s="95">
        <f t="shared" si="54"/>
        <v>0.03601072659941259</v>
      </c>
    </row>
    <row r="1407" spans="39:47" ht="15" customHeight="1">
      <c r="AM1407" s="1030">
        <v>7</v>
      </c>
      <c r="AN1407" s="1092" t="s">
        <v>1998</v>
      </c>
      <c r="AO1407" s="792"/>
      <c r="AP1407" s="792"/>
      <c r="AQ1407" s="793"/>
      <c r="AR1407" s="97">
        <f>K211</f>
        <v>0</v>
      </c>
      <c r="AS1407" s="845">
        <f t="shared" si="53"/>
        <v>0</v>
      </c>
      <c r="AT1407" s="97">
        <f>L211</f>
        <v>0</v>
      </c>
      <c r="AU1407" s="95">
        <f t="shared" si="54"/>
        <v>0</v>
      </c>
    </row>
    <row r="1408" spans="39:47" ht="15" customHeight="1">
      <c r="AM1408" s="1030">
        <v>8</v>
      </c>
      <c r="AN1408" s="791" t="s">
        <v>706</v>
      </c>
      <c r="AO1408" s="792"/>
      <c r="AP1408" s="792"/>
      <c r="AQ1408" s="793"/>
      <c r="AR1408" s="97">
        <f>K212</f>
        <v>0</v>
      </c>
      <c r="AS1408" s="845">
        <f t="shared" si="53"/>
        <v>0</v>
      </c>
      <c r="AT1408" s="97">
        <f>L212</f>
        <v>0</v>
      </c>
      <c r="AU1408" s="95">
        <f t="shared" si="54"/>
        <v>0</v>
      </c>
    </row>
    <row r="1409" spans="39:47" ht="15" customHeight="1">
      <c r="AM1409" s="1030">
        <v>9</v>
      </c>
      <c r="AN1409" s="791" t="s">
        <v>709</v>
      </c>
      <c r="AO1409" s="792"/>
      <c r="AP1409" s="792"/>
      <c r="AQ1409" s="793"/>
      <c r="AR1409" s="97">
        <f>K215</f>
        <v>35</v>
      </c>
      <c r="AS1409" s="845">
        <f t="shared" si="53"/>
        <v>0.005039596832253419</v>
      </c>
      <c r="AT1409" s="97">
        <f>L215</f>
        <v>32</v>
      </c>
      <c r="AU1409" s="95">
        <f t="shared" si="54"/>
        <v>0.004086323585748946</v>
      </c>
    </row>
    <row r="1410" spans="39:47" ht="15" customHeight="1">
      <c r="AM1410" s="1030">
        <v>10</v>
      </c>
      <c r="AN1410" s="791" t="s">
        <v>58</v>
      </c>
      <c r="AO1410" s="792"/>
      <c r="AP1410" s="792"/>
      <c r="AQ1410" s="793"/>
      <c r="AR1410" s="97">
        <f>K190</f>
        <v>106</v>
      </c>
      <c r="AS1410" s="845">
        <f t="shared" si="53"/>
        <v>0.015262778977681786</v>
      </c>
      <c r="AT1410" s="97">
        <f>L190</f>
        <v>237</v>
      </c>
      <c r="AU1410" s="95">
        <f t="shared" si="54"/>
        <v>0.030264334056953134</v>
      </c>
    </row>
    <row r="1411" spans="39:47" ht="15" customHeight="1">
      <c r="AM1411" s="1030">
        <v>11</v>
      </c>
      <c r="AN1411" s="791" t="s">
        <v>396</v>
      </c>
      <c r="AO1411" s="792"/>
      <c r="AP1411" s="792"/>
      <c r="AQ1411" s="793"/>
      <c r="AR1411" s="97">
        <f>K219</f>
        <v>0</v>
      </c>
      <c r="AS1411" s="845">
        <f t="shared" si="53"/>
        <v>0</v>
      </c>
      <c r="AT1411" s="97">
        <f>L219</f>
        <v>0</v>
      </c>
      <c r="AU1411" s="95">
        <f t="shared" si="54"/>
        <v>0</v>
      </c>
    </row>
    <row r="1412" spans="39:47" ht="15" customHeight="1">
      <c r="AM1412" s="1030">
        <v>12</v>
      </c>
      <c r="AN1412" s="791" t="s">
        <v>1332</v>
      </c>
      <c r="AO1412" s="792"/>
      <c r="AP1412" s="792"/>
      <c r="AQ1412" s="793"/>
      <c r="AR1412" s="97">
        <f>K222</f>
        <v>103</v>
      </c>
      <c r="AS1412" s="845">
        <f t="shared" si="53"/>
        <v>0.014830813534917206</v>
      </c>
      <c r="AT1412" s="97">
        <f>L222</f>
        <v>425</v>
      </c>
      <c r="AU1412" s="95">
        <f t="shared" si="54"/>
        <v>0.05427148512322819</v>
      </c>
    </row>
    <row r="1413" spans="39:47" ht="15" customHeight="1">
      <c r="AM1413" s="802"/>
      <c r="AN1413" s="791"/>
      <c r="AO1413" s="792"/>
      <c r="AP1413" s="792"/>
      <c r="AQ1413" s="1087" t="s">
        <v>2230</v>
      </c>
      <c r="AR1413" s="97">
        <f>K223</f>
        <v>6945</v>
      </c>
      <c r="AS1413" s="845">
        <f t="shared" si="53"/>
        <v>1</v>
      </c>
      <c r="AT1413" s="97">
        <f>L223</f>
        <v>7831</v>
      </c>
      <c r="AU1413" s="95">
        <f t="shared" si="54"/>
        <v>1</v>
      </c>
    </row>
    <row r="1414" spans="39:47" ht="15" customHeight="1">
      <c r="AM1414" s="1088"/>
      <c r="AN1414" s="1093" t="s">
        <v>2411</v>
      </c>
      <c r="AO1414" s="1090"/>
      <c r="AP1414" s="1090"/>
      <c r="AQ1414" s="1091"/>
      <c r="AR1414" s="97"/>
      <c r="AS1414" s="97"/>
      <c r="AT1414" s="97"/>
      <c r="AU1414" s="1032"/>
    </row>
    <row r="1415" spans="39:47" ht="15" customHeight="1">
      <c r="AM1415" s="1030">
        <v>1</v>
      </c>
      <c r="AN1415" s="799" t="s">
        <v>832</v>
      </c>
      <c r="AO1415" s="792"/>
      <c r="AP1415" s="792"/>
      <c r="AQ1415" s="793"/>
      <c r="AR1415" s="97">
        <f>K235</f>
        <v>6688</v>
      </c>
      <c r="AS1415" s="845">
        <f aca="true" t="shared" si="55" ref="AS1415:AS1422">+AR1415/$AR$1422</f>
        <v>0.9629949604031678</v>
      </c>
      <c r="AT1415" s="97">
        <f>L235</f>
        <v>7508</v>
      </c>
      <c r="AU1415" s="95">
        <f aca="true" t="shared" si="56" ref="AU1415:AU1422">+AT1415/$AT$1422</f>
        <v>0.9587536713063466</v>
      </c>
    </row>
    <row r="1416" spans="39:47" ht="15" customHeight="1">
      <c r="AM1416" s="1030">
        <v>2</v>
      </c>
      <c r="AN1416" s="799" t="s">
        <v>833</v>
      </c>
      <c r="AO1416" s="792"/>
      <c r="AP1416" s="792"/>
      <c r="AQ1416" s="793"/>
      <c r="AR1416" s="97">
        <f>K236</f>
        <v>73</v>
      </c>
      <c r="AS1416" s="845">
        <f t="shared" si="55"/>
        <v>0.010511159107271418</v>
      </c>
      <c r="AT1416" s="97">
        <f>L236</f>
        <v>323</v>
      </c>
      <c r="AU1416" s="95">
        <f t="shared" si="56"/>
        <v>0.04124632869365343</v>
      </c>
    </row>
    <row r="1417" spans="39:47" ht="15" customHeight="1">
      <c r="AM1417" s="1030">
        <v>3</v>
      </c>
      <c r="AN1417" s="799" t="s">
        <v>707</v>
      </c>
      <c r="AO1417" s="792"/>
      <c r="AP1417" s="792"/>
      <c r="AQ1417" s="793"/>
      <c r="AR1417" s="97">
        <f>K246</f>
        <v>184</v>
      </c>
      <c r="AS1417" s="845">
        <f t="shared" si="55"/>
        <v>0.026493880489560834</v>
      </c>
      <c r="AT1417" s="97">
        <f>L246</f>
        <v>0</v>
      </c>
      <c r="AU1417" s="95">
        <f t="shared" si="56"/>
        <v>0</v>
      </c>
    </row>
    <row r="1418" spans="39:47" ht="15" customHeight="1">
      <c r="AM1418" s="1030">
        <v>4</v>
      </c>
      <c r="AN1418" s="1094" t="s">
        <v>1999</v>
      </c>
      <c r="AO1418" s="792"/>
      <c r="AP1418" s="792"/>
      <c r="AQ1418" s="793"/>
      <c r="AR1418" s="97">
        <f>K249</f>
        <v>0</v>
      </c>
      <c r="AS1418" s="845">
        <f t="shared" si="55"/>
        <v>0</v>
      </c>
      <c r="AT1418" s="97">
        <f>L249</f>
        <v>0</v>
      </c>
      <c r="AU1418" s="95">
        <f t="shared" si="56"/>
        <v>0</v>
      </c>
    </row>
    <row r="1419" spans="39:47" ht="15" customHeight="1">
      <c r="AM1419" s="1030">
        <v>5</v>
      </c>
      <c r="AN1419" s="789" t="s">
        <v>708</v>
      </c>
      <c r="AO1419" s="792"/>
      <c r="AP1419" s="792"/>
      <c r="AQ1419" s="793"/>
      <c r="AR1419" s="97">
        <f>K250</f>
        <v>0</v>
      </c>
      <c r="AS1419" s="845">
        <f t="shared" si="55"/>
        <v>0</v>
      </c>
      <c r="AT1419" s="97">
        <f>L250</f>
        <v>0</v>
      </c>
      <c r="AU1419" s="95">
        <f t="shared" si="56"/>
        <v>0</v>
      </c>
    </row>
    <row r="1420" spans="39:47" ht="15" customHeight="1">
      <c r="AM1420" s="1030">
        <v>6</v>
      </c>
      <c r="AN1420" s="789" t="s">
        <v>396</v>
      </c>
      <c r="AO1420" s="792"/>
      <c r="AP1420" s="792"/>
      <c r="AQ1420" s="793"/>
      <c r="AR1420" s="97">
        <f>K250</f>
        <v>0</v>
      </c>
      <c r="AS1420" s="845">
        <f t="shared" si="55"/>
        <v>0</v>
      </c>
      <c r="AT1420" s="97">
        <f>L254</f>
        <v>0</v>
      </c>
      <c r="AU1420" s="95">
        <f t="shared" si="56"/>
        <v>0</v>
      </c>
    </row>
    <row r="1421" spans="39:47" ht="15" customHeight="1">
      <c r="AM1421" s="1030">
        <v>7</v>
      </c>
      <c r="AN1421" s="791" t="s">
        <v>2000</v>
      </c>
      <c r="AO1421" s="792"/>
      <c r="AP1421" s="792"/>
      <c r="AQ1421" s="793"/>
      <c r="AR1421" s="97">
        <f>K257</f>
        <v>0</v>
      </c>
      <c r="AS1421" s="845">
        <f t="shared" si="55"/>
        <v>0</v>
      </c>
      <c r="AT1421" s="97">
        <f>L257</f>
        <v>0</v>
      </c>
      <c r="AU1421" s="95">
        <f t="shared" si="56"/>
        <v>0</v>
      </c>
    </row>
    <row r="1422" spans="39:47" ht="15" customHeight="1" thickBot="1">
      <c r="AM1422" s="1095"/>
      <c r="AN1422" s="947"/>
      <c r="AO1422" s="947"/>
      <c r="AP1422" s="947"/>
      <c r="AQ1422" s="1096" t="s">
        <v>2230</v>
      </c>
      <c r="AR1422" s="851">
        <f>K258</f>
        <v>6945</v>
      </c>
      <c r="AS1422" s="852">
        <f t="shared" si="55"/>
        <v>1</v>
      </c>
      <c r="AT1422" s="851">
        <f>L258</f>
        <v>7831</v>
      </c>
      <c r="AU1422" s="900">
        <f t="shared" si="56"/>
        <v>1</v>
      </c>
    </row>
    <row r="1423" spans="39:48" ht="9" customHeight="1">
      <c r="AM1423" s="608"/>
      <c r="AN1423" s="608"/>
      <c r="AO1423" s="608"/>
      <c r="AP1423" s="608"/>
      <c r="AQ1423" s="608"/>
      <c r="AR1423" s="608"/>
      <c r="AS1423" s="608"/>
      <c r="AT1423" s="608"/>
      <c r="AU1423" s="608"/>
      <c r="AV1423" s="62">
        <f>+' -'!$C$12</f>
      </c>
    </row>
    <row r="1424" spans="39:47" ht="15.75" customHeight="1">
      <c r="AM1424" s="765" t="s">
        <v>958</v>
      </c>
      <c r="AN1424" s="765"/>
      <c r="AO1424" s="1097"/>
      <c r="AP1424" s="1097"/>
      <c r="AQ1424" s="1097"/>
      <c r="AR1424" s="1097"/>
      <c r="AS1424" s="1097"/>
      <c r="AT1424" s="1097"/>
      <c r="AU1424" s="1097"/>
    </row>
    <row r="1425" spans="39:47" ht="15.75" customHeight="1">
      <c r="AM1425" s="765" t="str">
        <f>AM513</f>
        <v>"В И Н З А В О Д"  А Д - гр. АСЕНОВГРАД</v>
      </c>
      <c r="AN1425" s="765"/>
      <c r="AO1425" s="1097"/>
      <c r="AP1425" s="1097"/>
      <c r="AQ1425" s="1097"/>
      <c r="AR1425" s="1097"/>
      <c r="AS1425" s="1097"/>
      <c r="AT1425" s="1097"/>
      <c r="AU1425" s="1097"/>
    </row>
    <row r="1426" spans="39:47" ht="15.75" customHeight="1">
      <c r="AM1426" s="666"/>
      <c r="AN1426" s="110" t="s">
        <v>2339</v>
      </c>
      <c r="AO1426" s="871"/>
      <c r="AP1426" s="871"/>
      <c r="AQ1426" s="871"/>
      <c r="AR1426" s="871"/>
      <c r="AS1426" s="871"/>
      <c r="AT1426" s="871"/>
      <c r="AU1426" s="871"/>
    </row>
    <row r="1427" spans="39:47" ht="15.75" customHeight="1">
      <c r="AM1427" s="666" t="s">
        <v>1141</v>
      </c>
      <c r="AN1427" s="110"/>
      <c r="AO1427" s="871"/>
      <c r="AP1427" s="871"/>
      <c r="AQ1427" s="871"/>
      <c r="AR1427" s="871"/>
      <c r="AS1427" s="871"/>
      <c r="AT1427" s="871"/>
      <c r="AU1427" s="871"/>
    </row>
    <row r="1428" spans="39:47" ht="15.75" customHeight="1">
      <c r="AM1428" s="666" t="s">
        <v>342</v>
      </c>
      <c r="AN1428" s="110"/>
      <c r="AO1428" s="871"/>
      <c r="AP1428" s="871"/>
      <c r="AQ1428" s="871"/>
      <c r="AR1428" s="871"/>
      <c r="AS1428" s="871"/>
      <c r="AT1428" s="871"/>
      <c r="AU1428" s="871"/>
    </row>
    <row r="1429" spans="39:47" ht="15.75" customHeight="1">
      <c r="AM1429" s="666" t="s">
        <v>2340</v>
      </c>
      <c r="AN1429" s="110"/>
      <c r="AO1429" s="871"/>
      <c r="AP1429" s="871"/>
      <c r="AQ1429" s="871"/>
      <c r="AR1429" s="871"/>
      <c r="AS1429" s="871"/>
      <c r="AT1429" s="871"/>
      <c r="AU1429" s="871"/>
    </row>
    <row r="1430" spans="39:47" ht="15.75" customHeight="1">
      <c r="AM1430" s="666"/>
      <c r="AN1430" s="110" t="s">
        <v>2341</v>
      </c>
      <c r="AO1430" s="871"/>
      <c r="AP1430" s="871"/>
      <c r="AQ1430" s="871"/>
      <c r="AR1430" s="871"/>
      <c r="AS1430" s="871"/>
      <c r="AT1430" s="871"/>
      <c r="AU1430" s="871"/>
    </row>
    <row r="1431" spans="39:47" ht="15.75" customHeight="1">
      <c r="AM1431" s="666" t="s">
        <v>2342</v>
      </c>
      <c r="AN1431" s="229"/>
      <c r="AO1431" s="666"/>
      <c r="AP1431" s="666"/>
      <c r="AQ1431" s="666"/>
      <c r="AR1431" s="666"/>
      <c r="AS1431" s="666"/>
      <c r="AT1431" s="666"/>
      <c r="AU1431" s="666"/>
    </row>
    <row r="1432" spans="39:47" ht="15.75" customHeight="1">
      <c r="AM1432" s="666" t="s">
        <v>796</v>
      </c>
      <c r="AN1432" s="666"/>
      <c r="AO1432" s="666"/>
      <c r="AP1432" s="666"/>
      <c r="AQ1432" s="666"/>
      <c r="AR1432" s="666"/>
      <c r="AS1432" s="666"/>
      <c r="AT1432" s="666"/>
      <c r="AU1432" s="666"/>
    </row>
    <row r="1433" spans="39:47" ht="15.75" customHeight="1">
      <c r="AM1433" s="666" t="s">
        <v>1749</v>
      </c>
      <c r="AN1433" s="666"/>
      <c r="AO1433" s="666"/>
      <c r="AP1433" s="666"/>
      <c r="AQ1433" s="666"/>
      <c r="AR1433" s="666"/>
      <c r="AS1433" s="666"/>
      <c r="AT1433" s="666"/>
      <c r="AU1433" s="666"/>
    </row>
    <row r="1434" spans="39:47" ht="15.75" customHeight="1">
      <c r="AM1434" s="666" t="s">
        <v>1750</v>
      </c>
      <c r="AN1434" s="666"/>
      <c r="AO1434" s="666"/>
      <c r="AP1434" s="666"/>
      <c r="AQ1434" s="666"/>
      <c r="AR1434" s="666"/>
      <c r="AS1434" s="666"/>
      <c r="AT1434" s="666"/>
      <c r="AU1434" s="666"/>
    </row>
    <row r="1435" spans="39:47" ht="15.75" customHeight="1">
      <c r="AM1435" s="666"/>
      <c r="AN1435" s="666" t="s">
        <v>1751</v>
      </c>
      <c r="AO1435" s="666"/>
      <c r="AP1435" s="666"/>
      <c r="AQ1435" s="666"/>
      <c r="AR1435" s="666"/>
      <c r="AS1435" s="666"/>
      <c r="AT1435" s="666"/>
      <c r="AU1435" s="666"/>
    </row>
    <row r="1436" spans="39:47" ht="15.75" customHeight="1">
      <c r="AM1436" s="666" t="s">
        <v>1752</v>
      </c>
      <c r="AN1436" s="666"/>
      <c r="AO1436" s="666"/>
      <c r="AP1436" s="666"/>
      <c r="AQ1436" s="666"/>
      <c r="AR1436" s="666"/>
      <c r="AS1436" s="666"/>
      <c r="AT1436" s="666"/>
      <c r="AU1436" s="666"/>
    </row>
    <row r="1437" spans="39:47" ht="15.75" customHeight="1">
      <c r="AM1437" s="666" t="s">
        <v>515</v>
      </c>
      <c r="AN1437" s="666"/>
      <c r="AO1437" s="666"/>
      <c r="AP1437" s="666"/>
      <c r="AQ1437" s="666"/>
      <c r="AR1437" s="666"/>
      <c r="AS1437" s="666"/>
      <c r="AT1437" s="666"/>
      <c r="AU1437" s="666"/>
    </row>
    <row r="1438" spans="39:47" ht="15.75" customHeight="1">
      <c r="AM1438" s="666"/>
      <c r="AN1438" s="666" t="s">
        <v>1258</v>
      </c>
      <c r="AO1438" s="666"/>
      <c r="AP1438" s="666"/>
      <c r="AQ1438" s="666"/>
      <c r="AR1438" s="666"/>
      <c r="AS1438" s="666"/>
      <c r="AT1438" s="666"/>
      <c r="AU1438" s="666"/>
    </row>
    <row r="1439" spans="39:47" ht="15.75" customHeight="1">
      <c r="AM1439" s="666" t="s">
        <v>1259</v>
      </c>
      <c r="AN1439" s="666"/>
      <c r="AO1439" s="666"/>
      <c r="AP1439" s="666"/>
      <c r="AQ1439" s="666"/>
      <c r="AR1439" s="666"/>
      <c r="AS1439" s="666"/>
      <c r="AT1439" s="666"/>
      <c r="AU1439" s="666"/>
    </row>
    <row r="1440" spans="39:48" ht="15.75" customHeight="1">
      <c r="AM1440" s="666" t="s">
        <v>1257</v>
      </c>
      <c r="AN1440" s="666"/>
      <c r="AO1440" s="666"/>
      <c r="AP1440" s="666"/>
      <c r="AQ1440" s="666"/>
      <c r="AR1440" s="666"/>
      <c r="AS1440" s="666"/>
      <c r="AT1440" s="666"/>
      <c r="AU1440" s="666"/>
      <c r="AV1440" s="62">
        <f>+' -'!$B$11</f>
      </c>
    </row>
    <row r="1441" spans="39:47" ht="15.75" customHeight="1" thickBot="1">
      <c r="AM1441" s="1016" t="s">
        <v>1748</v>
      </c>
      <c r="AN1441" s="1017"/>
      <c r="AO1441" s="1017"/>
      <c r="AP1441" s="1017"/>
      <c r="AQ1441" s="1017"/>
      <c r="AR1441" s="1017"/>
      <c r="AS1441" s="1017"/>
      <c r="AT1441" s="214"/>
      <c r="AU1441" s="1018" t="s">
        <v>1610</v>
      </c>
    </row>
    <row r="1442" spans="39:47" ht="15.75" customHeight="1">
      <c r="AM1442" s="872"/>
      <c r="AN1442" s="873"/>
      <c r="AO1442" s="874"/>
      <c r="AP1442" s="874"/>
      <c r="AQ1442" s="874"/>
      <c r="AR1442" s="1019" t="str">
        <f>$D$7</f>
        <v>Текуща</v>
      </c>
      <c r="AS1442" s="1020" t="str">
        <f>$E$7</f>
        <v>Предходна</v>
      </c>
      <c r="AT1442" s="1098" t="s">
        <v>516</v>
      </c>
      <c r="AU1442" s="1045"/>
    </row>
    <row r="1443" spans="39:47" ht="15.75" customHeight="1">
      <c r="AM1443" s="877" t="s">
        <v>1612</v>
      </c>
      <c r="AN1443" s="927" t="s">
        <v>1613</v>
      </c>
      <c r="AO1443" s="879"/>
      <c r="AP1443" s="879"/>
      <c r="AQ1443" s="879"/>
      <c r="AR1443" s="1021" t="str">
        <f>$D$8</f>
        <v>година</v>
      </c>
      <c r="AS1443" s="1022" t="str">
        <f>$E$8</f>
        <v>година</v>
      </c>
      <c r="AT1443" s="1048" t="s">
        <v>517</v>
      </c>
      <c r="AU1443" s="1049"/>
    </row>
    <row r="1444" spans="39:47" ht="15.75" customHeight="1" thickBot="1">
      <c r="AM1444" s="882"/>
      <c r="AN1444" s="883"/>
      <c r="AO1444" s="884"/>
      <c r="AP1444" s="884"/>
      <c r="AQ1444" s="884"/>
      <c r="AR1444" s="954" t="s">
        <v>1614</v>
      </c>
      <c r="AS1444" s="954" t="s">
        <v>1614</v>
      </c>
      <c r="AT1444" s="954" t="s">
        <v>1614</v>
      </c>
      <c r="AU1444" s="1099" t="s">
        <v>1615</v>
      </c>
    </row>
    <row r="1445" spans="39:47" ht="15.75" customHeight="1">
      <c r="AM1445" s="1026"/>
      <c r="AN1445" s="865"/>
      <c r="AO1445" s="865"/>
      <c r="AP1445" s="865"/>
      <c r="AQ1445" s="865"/>
      <c r="AR1445" s="1100"/>
      <c r="AS1445" s="897" t="s">
        <v>518</v>
      </c>
      <c r="AT1445" s="1101">
        <f>SUM(AT1446:AT1452)</f>
        <v>-1755</v>
      </c>
      <c r="AU1445" s="105" t="str">
        <f>IF(AR1445&lt;&gt;0,AT1445/AR1445," ")</f>
        <v> </v>
      </c>
    </row>
    <row r="1446" spans="39:58" ht="15.75" customHeight="1">
      <c r="AM1446" s="805" t="s">
        <v>1616</v>
      </c>
      <c r="AN1446" s="789" t="s">
        <v>1860</v>
      </c>
      <c r="AO1446" s="789"/>
      <c r="AP1446" s="789"/>
      <c r="AQ1446" s="789"/>
      <c r="AR1446" s="96">
        <f>IF(' -'!$B$11="",Анализ!$K$222-$K$257,Анализ!$AS$1003)</f>
        <v>103</v>
      </c>
      <c r="AS1446" s="96">
        <f>IF(' -'!$B$11="",Анализ!$L$222-$L$257,Анализ!$AR$1003)</f>
        <v>425</v>
      </c>
      <c r="AT1446" s="207">
        <f>AR1446</f>
        <v>103</v>
      </c>
      <c r="AU1446" s="105">
        <f aca="true" t="shared" si="57" ref="AU1446:AU1452">IF(AND(AS1446=0,AR1446=0),0,IF(AS1446&lt;&gt;0,AT1446/ABS(AS1446),IF(AS1446=0,AT1446/ABS(AR1446),FLASE)))</f>
        <v>0.24235294117647058</v>
      </c>
      <c r="AV1446" s="63"/>
      <c r="BF1446" s="275" t="s">
        <v>1455</v>
      </c>
    </row>
    <row r="1447" spans="39:47" ht="15.75" customHeight="1">
      <c r="AM1447" s="805" t="s">
        <v>2455</v>
      </c>
      <c r="AN1447" s="789" t="s">
        <v>1489</v>
      </c>
      <c r="AO1447" s="789"/>
      <c r="AP1447" s="789"/>
      <c r="AQ1447" s="789"/>
      <c r="AR1447" s="96">
        <f>D134+D140+D142+D164-D154-D157</f>
        <v>857</v>
      </c>
      <c r="AS1447" s="96">
        <f>E134+E140+E142+E164-E154-E157</f>
        <v>1063</v>
      </c>
      <c r="AT1447" s="207">
        <f>AR1447-AS1447</f>
        <v>-206</v>
      </c>
      <c r="AU1447" s="105">
        <f t="shared" si="57"/>
        <v>-0.19379115710253997</v>
      </c>
    </row>
    <row r="1448" spans="39:47" ht="15.75" customHeight="1">
      <c r="AM1448" s="805" t="s">
        <v>819</v>
      </c>
      <c r="AN1448" s="789" t="s">
        <v>739</v>
      </c>
      <c r="AO1448" s="789"/>
      <c r="AP1448" s="789"/>
      <c r="AQ1448" s="789"/>
      <c r="AR1448" s="96">
        <f>D68</f>
        <v>7219</v>
      </c>
      <c r="AS1448" s="96">
        <f>E68</f>
        <v>6572</v>
      </c>
      <c r="AT1448" s="207">
        <f>(AR1448-AS1448)*(-1)</f>
        <v>-647</v>
      </c>
      <c r="AU1448" s="105">
        <f t="shared" si="57"/>
        <v>-0.09844796104686548</v>
      </c>
    </row>
    <row r="1449" spans="39:48" ht="15.75" customHeight="1">
      <c r="AM1449" s="805" t="s">
        <v>1213</v>
      </c>
      <c r="AN1449" s="789" t="s">
        <v>1490</v>
      </c>
      <c r="AO1449" s="789"/>
      <c r="AP1449" s="789"/>
      <c r="AQ1449" s="789"/>
      <c r="AR1449" s="96">
        <f>D40+D78</f>
        <v>7347</v>
      </c>
      <c r="AS1449" s="96">
        <f>E40+E78</f>
        <v>5494</v>
      </c>
      <c r="AT1449" s="207">
        <f>(AR1449-AS1449)*(-1)</f>
        <v>-1853</v>
      </c>
      <c r="AU1449" s="105">
        <f t="shared" si="57"/>
        <v>-0.3372770294867128</v>
      </c>
      <c r="AV1449" s="64"/>
    </row>
    <row r="1450" spans="39:49" ht="15.75" customHeight="1">
      <c r="AM1450" s="805" t="s">
        <v>1215</v>
      </c>
      <c r="AN1450" s="789" t="s">
        <v>1491</v>
      </c>
      <c r="AO1450" s="789"/>
      <c r="AP1450" s="789"/>
      <c r="AQ1450" s="789"/>
      <c r="AR1450" s="96">
        <f>K187</f>
        <v>442</v>
      </c>
      <c r="AS1450" s="96">
        <f>L187</f>
        <v>462</v>
      </c>
      <c r="AT1450" s="207">
        <f>AR1450</f>
        <v>442</v>
      </c>
      <c r="AU1450" s="105">
        <f t="shared" si="57"/>
        <v>0.9567099567099567</v>
      </c>
      <c r="AV1450" s="63"/>
      <c r="AW1450" s="63"/>
    </row>
    <row r="1451" spans="39:49" ht="15.75" customHeight="1">
      <c r="AM1451" s="805">
        <v>6</v>
      </c>
      <c r="AN1451" s="789" t="s">
        <v>1856</v>
      </c>
      <c r="AO1451" s="789"/>
      <c r="AP1451" s="789"/>
      <c r="AQ1451" s="789"/>
      <c r="AR1451" s="96">
        <f>D122</f>
        <v>3720</v>
      </c>
      <c r="AS1451" s="96">
        <f>E122</f>
        <v>3310</v>
      </c>
      <c r="AT1451" s="207">
        <f>AR1451-AS1451</f>
        <v>410</v>
      </c>
      <c r="AU1451" s="105">
        <f t="shared" si="57"/>
        <v>0.12386706948640483</v>
      </c>
      <c r="AV1451" s="63"/>
      <c r="AW1451" s="63"/>
    </row>
    <row r="1452" spans="39:49" ht="15.75" customHeight="1">
      <c r="AM1452" s="805">
        <v>7</v>
      </c>
      <c r="AN1452" s="789" t="str">
        <f>$B$139</f>
        <v> Отсрочени данъци</v>
      </c>
      <c r="AO1452" s="789"/>
      <c r="AP1452" s="789"/>
      <c r="AQ1452" s="789"/>
      <c r="AR1452" s="96">
        <f>D139</f>
        <v>192</v>
      </c>
      <c r="AS1452" s="96">
        <f>E139</f>
        <v>196</v>
      </c>
      <c r="AT1452" s="207">
        <f>AR1452-AS1452</f>
        <v>-4</v>
      </c>
      <c r="AU1452" s="105">
        <f t="shared" si="57"/>
        <v>-0.02040816326530612</v>
      </c>
      <c r="AV1452" s="63"/>
      <c r="AW1452" s="63"/>
    </row>
    <row r="1453" spans="39:47" ht="15.75" customHeight="1">
      <c r="AM1453" s="1102"/>
      <c r="AN1453" s="865"/>
      <c r="AO1453" s="865"/>
      <c r="AP1453" s="865"/>
      <c r="AQ1453" s="865"/>
      <c r="AR1453" s="865"/>
      <c r="AS1453" s="897" t="s">
        <v>520</v>
      </c>
      <c r="AT1453" s="1103">
        <f>SUM(AT1454:AT1456)</f>
        <v>2353</v>
      </c>
      <c r="AU1453" s="1028"/>
    </row>
    <row r="1454" spans="39:47" ht="15.75" customHeight="1">
      <c r="AM1454" s="805" t="s">
        <v>1616</v>
      </c>
      <c r="AN1454" s="789" t="s">
        <v>251</v>
      </c>
      <c r="AO1454" s="789"/>
      <c r="AP1454" s="789"/>
      <c r="AQ1454" s="789"/>
      <c r="AR1454" s="96">
        <f>D135+D154</f>
        <v>5556</v>
      </c>
      <c r="AS1454" s="96">
        <f>E135+E154</f>
        <v>3203</v>
      </c>
      <c r="AT1454" s="207">
        <f>AR1454-AS1454</f>
        <v>2353</v>
      </c>
      <c r="AU1454" s="105">
        <f>IF(AND(AS1454=0,AR1454=0),0,IF(AS1454&lt;&gt;0,AT1454/ABS(AS1454),IF(AS1454=0,AT1454/ABS(AR1454),FLASE)))</f>
        <v>0.7346237901966906</v>
      </c>
    </row>
    <row r="1455" spans="39:47" ht="15.75" customHeight="1">
      <c r="AM1455" s="805">
        <v>2</v>
      </c>
      <c r="AN1455" s="789" t="s">
        <v>1547</v>
      </c>
      <c r="AO1455" s="789"/>
      <c r="AP1455" s="789"/>
      <c r="AQ1455" s="789"/>
      <c r="AR1455" s="96">
        <f>D137+D157</f>
        <v>0</v>
      </c>
      <c r="AS1455" s="96">
        <f>E137+E157</f>
        <v>0</v>
      </c>
      <c r="AT1455" s="207">
        <f>AR1455-AS1455</f>
        <v>0</v>
      </c>
      <c r="AU1455" s="105">
        <f>IF(AND(AS1455=0,AR1455=0),0,IF(AS1455&lt;&gt;0,AT1455/ABS(AS1455),IF(AS1455=0,AT1455/ABS(AR1455),FLASE)))</f>
        <v>0</v>
      </c>
    </row>
    <row r="1456" spans="39:48" ht="15.75" customHeight="1">
      <c r="AM1456" s="805">
        <v>3</v>
      </c>
      <c r="AN1456" s="789" t="str">
        <f>B138</f>
        <v> Задължения по облигационни заеми</v>
      </c>
      <c r="AO1456" s="789"/>
      <c r="AP1456" s="789"/>
      <c r="AQ1456" s="789"/>
      <c r="AR1456" s="96">
        <f>D138</f>
        <v>0</v>
      </c>
      <c r="AS1456" s="96">
        <f>E138</f>
        <v>0</v>
      </c>
      <c r="AT1456" s="207">
        <f>AR1456-AS1456</f>
        <v>0</v>
      </c>
      <c r="AU1456" s="105">
        <f>IF(AND(AS1456=0,AR1456=0),0,IF(AS1456&lt;&gt;0,AT1456/ABS(AS1456),IF(AS1456=0,AT1456/ABS(AR1456),FLASE)))</f>
        <v>0</v>
      </c>
      <c r="AV1456" s="64"/>
    </row>
    <row r="1457" spans="39:47" ht="15.75" customHeight="1">
      <c r="AM1457" s="1102"/>
      <c r="AN1457" s="789"/>
      <c r="AO1457" s="789"/>
      <c r="AP1457" s="789"/>
      <c r="AQ1457" s="789"/>
      <c r="AR1457" s="789"/>
      <c r="AS1457" s="897" t="s">
        <v>521</v>
      </c>
      <c r="AT1457" s="1103">
        <f>AT1445+AT1453</f>
        <v>598</v>
      </c>
      <c r="AU1457" s="1028"/>
    </row>
    <row r="1458" spans="39:47" ht="15.75" customHeight="1">
      <c r="AM1458" s="1102"/>
      <c r="AN1458" s="789"/>
      <c r="AO1458" s="789"/>
      <c r="AP1458" s="789"/>
      <c r="AQ1458" s="789"/>
      <c r="AR1458" s="789"/>
      <c r="AS1458" s="897" t="s">
        <v>522</v>
      </c>
      <c r="AT1458" s="207">
        <f>AT1459</f>
        <v>1689</v>
      </c>
      <c r="AU1458" s="105" t="str">
        <f>IF(AR1458&lt;&gt;0,AT1458/AR1458," ")</f>
        <v> </v>
      </c>
    </row>
    <row r="1459" spans="39:47" ht="15.75" customHeight="1" thickBot="1">
      <c r="AM1459" s="919" t="s">
        <v>1616</v>
      </c>
      <c r="AN1459" s="814" t="s">
        <v>1606</v>
      </c>
      <c r="AO1459" s="814"/>
      <c r="AP1459" s="814"/>
      <c r="AQ1459" s="814"/>
      <c r="AR1459" s="928">
        <f>D58</f>
        <v>8680</v>
      </c>
      <c r="AS1459" s="928">
        <f>E58</f>
        <v>6991</v>
      </c>
      <c r="AT1459" s="212">
        <f>AR1459-AS1459</f>
        <v>1689</v>
      </c>
      <c r="AU1459" s="118">
        <f>IF(AND(AS1459=0,AR1459=0),0,IF(AS1459&lt;&gt;0,AT1459/ABS(AS1459),IF(AS1459=0,AT1459/ABS(AR1459),FLASE)))</f>
        <v>0.24159633814904877</v>
      </c>
    </row>
    <row r="1460" spans="39:48" ht="15.75" customHeight="1">
      <c r="AM1460" s="1104"/>
      <c r="AN1460" s="1105"/>
      <c r="AO1460" s="110"/>
      <c r="AP1460" s="110"/>
      <c r="AQ1460" s="110"/>
      <c r="AR1460" s="110"/>
      <c r="AS1460" s="110"/>
      <c r="AT1460" s="110"/>
      <c r="AU1460" s="871"/>
      <c r="AV1460" s="62">
        <f>+' -'!$C$12</f>
      </c>
    </row>
    <row r="1461" spans="39:47" ht="15.75" customHeight="1">
      <c r="AM1461" s="231"/>
      <c r="AN1461" s="871" t="s">
        <v>587</v>
      </c>
      <c r="AO1461" s="110"/>
      <c r="AP1461" s="110"/>
      <c r="AQ1461" s="110"/>
      <c r="AR1461" s="110"/>
      <c r="AS1461" s="110"/>
      <c r="AT1461" s="110"/>
      <c r="AU1461" s="871"/>
    </row>
    <row r="1462" spans="39:47" ht="15.75" customHeight="1">
      <c r="AM1462" s="231" t="s">
        <v>523</v>
      </c>
      <c r="AN1462" s="1105"/>
      <c r="AO1462" s="110"/>
      <c r="AP1462" s="110"/>
      <c r="AQ1462" s="110"/>
      <c r="AR1462" s="110"/>
      <c r="AS1462" s="110"/>
      <c r="AT1462" s="110"/>
      <c r="AU1462" s="871"/>
    </row>
    <row r="1463" spans="39:47" ht="15.75" customHeight="1">
      <c r="AM1463" s="871"/>
      <c r="AN1463" s="871" t="s">
        <v>2306</v>
      </c>
      <c r="AO1463" s="871"/>
      <c r="AP1463" s="871"/>
      <c r="AQ1463" s="871"/>
      <c r="AR1463" s="871"/>
      <c r="AS1463" s="871"/>
      <c r="AT1463" s="1185">
        <f>$AR$1447</f>
        <v>857</v>
      </c>
      <c r="AU1463" s="871" t="s">
        <v>524</v>
      </c>
    </row>
    <row r="1464" spans="39:47" ht="15.75" customHeight="1">
      <c r="AM1464" s="871" t="s">
        <v>525</v>
      </c>
      <c r="AN1464" s="224" t="str">
        <f>IF($AR$1447&gt;$AS$1447,"повече","по-малко")</f>
        <v>по-малко</v>
      </c>
      <c r="AO1464" s="871" t="s">
        <v>526</v>
      </c>
      <c r="AP1464" s="871"/>
      <c r="AQ1464" s="871">
        <f>ABS($AT$1447)</f>
        <v>206</v>
      </c>
      <c r="AR1464" s="218" t="s">
        <v>527</v>
      </c>
      <c r="AS1464" s="214" t="str">
        <f>IF($AR$1447&gt;$AS$1447," у в е л и ч е н и е   е  източник"," н а м а л е н и е   фактически  е")</f>
        <v> н а м а л е н и е   фактически  е</v>
      </c>
      <c r="AT1464" s="214"/>
      <c r="AU1464" s="214"/>
    </row>
    <row r="1465" spans="39:47" ht="15.75" customHeight="1">
      <c r="AM1465" s="871" t="str">
        <f>IF($AR$1447&gt;$AS$1447,"на парични средства, с които кредиторите и доставчиците финансират  фирмата.","довело до изтичане на парични средства.")</f>
        <v>довело до изтичане на парични средства.</v>
      </c>
      <c r="AN1465" s="871"/>
      <c r="AO1465" s="871"/>
      <c r="AP1465" s="871"/>
      <c r="AQ1465" s="871"/>
      <c r="AR1465" s="871"/>
      <c r="AS1465" s="871"/>
      <c r="AT1465" s="871"/>
      <c r="AU1465" s="871"/>
    </row>
    <row r="1466" spans="39:47" ht="15.75" customHeight="1">
      <c r="AM1466" s="871"/>
      <c r="AN1466" s="871" t="s">
        <v>1052</v>
      </c>
      <c r="AO1466" s="871"/>
      <c r="AP1466" s="214" t="str">
        <f>IF($AR$1449&gt;$AS$1449,"у в е л и ч е н и е","н а м а л е н и е")</f>
        <v>у в е л и ч е н и е</v>
      </c>
      <c r="AQ1466" s="214"/>
      <c r="AR1466" s="871" t="s">
        <v>2307</v>
      </c>
      <c r="AS1466" s="871"/>
      <c r="AT1466" s="214" t="str">
        <f>IF($AT$1449&gt;0,"вливане","изтичане")</f>
        <v>изтичане</v>
      </c>
      <c r="AU1466" s="871" t="s">
        <v>1053</v>
      </c>
    </row>
    <row r="1467" spans="39:47" ht="15.75" customHeight="1">
      <c r="AM1467" s="871" t="s">
        <v>1054</v>
      </c>
      <c r="AN1467" s="871"/>
      <c r="AO1467" s="871"/>
      <c r="AP1467" s="871">
        <f>ABS($AT$1449)</f>
        <v>1853</v>
      </c>
      <c r="AQ1467" s="871" t="s">
        <v>1055</v>
      </c>
      <c r="AR1467" s="871"/>
      <c r="AS1467" s="871"/>
      <c r="AT1467" s="871"/>
      <c r="AU1467" s="871"/>
    </row>
    <row r="1468" spans="39:47" ht="15.75" customHeight="1">
      <c r="AM1468" s="871"/>
      <c r="AN1468" s="871" t="s">
        <v>588</v>
      </c>
      <c r="AO1468" s="214" t="str">
        <f>IF($AR$1448&gt;$AS$1448,"у в е л и ч е н и е","н а м а л е н и е")</f>
        <v>у в е л и ч е н и е</v>
      </c>
      <c r="AP1468" s="214"/>
      <c r="AQ1468" s="871" t="s">
        <v>2308</v>
      </c>
      <c r="AR1468" s="871"/>
      <c r="AS1468" s="608"/>
      <c r="AT1468" s="214" t="str">
        <f>IF($AT$1448&gt;0,"вливане","изтичане")</f>
        <v>изтичане</v>
      </c>
      <c r="AU1468" s="871" t="s">
        <v>1053</v>
      </c>
    </row>
    <row r="1469" spans="39:47" ht="15.75" customHeight="1">
      <c r="AM1469" s="871" t="s">
        <v>1054</v>
      </c>
      <c r="AN1469" s="871"/>
      <c r="AO1469" s="871"/>
      <c r="AP1469" s="871">
        <f>ABS($AT$1448)</f>
        <v>647</v>
      </c>
      <c r="AQ1469" s="871" t="s">
        <v>1055</v>
      </c>
      <c r="AR1469" s="871"/>
      <c r="AS1469" s="871"/>
      <c r="AT1469" s="871"/>
      <c r="AU1469" s="871"/>
    </row>
    <row r="1470" spans="39:47" ht="6" customHeight="1">
      <c r="AM1470" s="871"/>
      <c r="AN1470" s="871"/>
      <c r="AO1470" s="871"/>
      <c r="AP1470" s="871"/>
      <c r="AQ1470" s="871"/>
      <c r="AR1470" s="871"/>
      <c r="AS1470" s="871"/>
      <c r="AT1470" s="871"/>
      <c r="AU1470" s="871"/>
    </row>
    <row r="1471" spans="39:47" ht="19.5" customHeight="1" thickBot="1">
      <c r="AM1471" s="1016" t="str">
        <f>$AM$513</f>
        <v>"В И Н З А В О Д"  А Д - гр. АСЕНОВГРАД</v>
      </c>
      <c r="AN1471" s="1017"/>
      <c r="AO1471" s="1017"/>
      <c r="AP1471" s="1017"/>
      <c r="AQ1471" s="1017"/>
      <c r="AR1471" s="1017"/>
      <c r="AS1471" s="1017"/>
      <c r="AT1471" s="110"/>
      <c r="AU1471" s="1104" t="s">
        <v>1610</v>
      </c>
    </row>
    <row r="1472" spans="39:47" ht="19.5" customHeight="1">
      <c r="AM1472" s="872"/>
      <c r="AN1472" s="873"/>
      <c r="AO1472" s="874"/>
      <c r="AP1472" s="874"/>
      <c r="AQ1472" s="874"/>
      <c r="AR1472" s="1019" t="str">
        <f>$C$7</f>
        <v>на</v>
      </c>
      <c r="AS1472" s="1020" t="str">
        <f>$D$7</f>
        <v>Текуща</v>
      </c>
      <c r="AT1472" s="831" t="s">
        <v>1611</v>
      </c>
      <c r="AU1472" s="832"/>
    </row>
    <row r="1473" spans="39:47" ht="19.5" customHeight="1">
      <c r="AM1473" s="877" t="s">
        <v>1612</v>
      </c>
      <c r="AN1473" s="927" t="s">
        <v>1613</v>
      </c>
      <c r="AO1473" s="879"/>
      <c r="AP1473" s="879"/>
      <c r="AQ1473" s="879"/>
      <c r="AR1473" s="1021" t="str">
        <f>$C$8</f>
        <v>реда</v>
      </c>
      <c r="AS1473" s="1022" t="str">
        <f>$D$8</f>
        <v>година</v>
      </c>
      <c r="AT1473" s="1023"/>
      <c r="AU1473" s="1024"/>
    </row>
    <row r="1474" spans="39:47" ht="19.5" customHeight="1" thickBot="1">
      <c r="AM1474" s="882"/>
      <c r="AN1474" s="883"/>
      <c r="AO1474" s="884"/>
      <c r="AP1474" s="884"/>
      <c r="AQ1474" s="884"/>
      <c r="AR1474" s="954" t="s">
        <v>1614</v>
      </c>
      <c r="AS1474" s="834" t="s">
        <v>1614</v>
      </c>
      <c r="AT1474" s="944" t="s">
        <v>1614</v>
      </c>
      <c r="AU1474" s="945" t="s">
        <v>1615</v>
      </c>
    </row>
    <row r="1475" spans="39:47" ht="19.5" customHeight="1">
      <c r="AM1475" s="805">
        <v>1</v>
      </c>
      <c r="AN1475" s="1216" t="s">
        <v>916</v>
      </c>
      <c r="AO1475" s="789"/>
      <c r="AP1475" s="789"/>
      <c r="AQ1475" s="806"/>
      <c r="AR1475" s="207">
        <f>D68</f>
        <v>7219</v>
      </c>
      <c r="AS1475" s="207">
        <f>E68</f>
        <v>6572</v>
      </c>
      <c r="AT1475" s="207">
        <f>AR1475-AS1475</f>
        <v>647</v>
      </c>
      <c r="AU1475" s="103">
        <f>IF(AND(AS1475=0,AR1475=0),0,IF(AS1475&lt;&gt;0,AT1475/ABS(AS1475),IF(AS1475=0,AT1475/ABS(AR1475),FLASE)))</f>
        <v>0.09844796104686548</v>
      </c>
    </row>
    <row r="1476" spans="39:47" ht="19.5" customHeight="1">
      <c r="AM1476" s="788">
        <v>2</v>
      </c>
      <c r="AN1476" s="1199" t="s">
        <v>340</v>
      </c>
      <c r="AO1476" s="792"/>
      <c r="AP1476" s="792"/>
      <c r="AQ1476" s="793"/>
      <c r="AR1476" s="207">
        <f>D78</f>
        <v>5441</v>
      </c>
      <c r="AS1476" s="207">
        <f>E78</f>
        <v>5494</v>
      </c>
      <c r="AT1476" s="207">
        <f aca="true" t="shared" si="58" ref="AT1476:AT1485">AR1476-AS1476</f>
        <v>-53</v>
      </c>
      <c r="AU1476" s="95">
        <f aca="true" t="shared" si="59" ref="AU1476:AU1485">IF(AND(AS1476=0,AR1476=0),0,IF(AS1476&lt;&gt;0,AT1476/ABS(AS1476),IF(AS1476=0,AT1476/ABS(AR1476),FLASE)))</f>
        <v>-0.009646887513651257</v>
      </c>
    </row>
    <row r="1477" spans="39:47" ht="19.5" customHeight="1">
      <c r="AM1477" s="805">
        <v>3</v>
      </c>
      <c r="AN1477" s="1199" t="s">
        <v>29</v>
      </c>
      <c r="AO1477" s="792"/>
      <c r="AP1477" s="792"/>
      <c r="AQ1477" s="793"/>
      <c r="AR1477" s="207">
        <f>D164</f>
        <v>760</v>
      </c>
      <c r="AS1477" s="207">
        <f>E164</f>
        <v>984</v>
      </c>
      <c r="AT1477" s="207">
        <f t="shared" si="58"/>
        <v>-224</v>
      </c>
      <c r="AU1477" s="95">
        <f t="shared" si="59"/>
        <v>-0.22764227642276422</v>
      </c>
    </row>
    <row r="1478" spans="39:47" ht="19.5" customHeight="1">
      <c r="AM1478" s="788">
        <v>4</v>
      </c>
      <c r="AN1478" s="789" t="s">
        <v>570</v>
      </c>
      <c r="AO1478" s="792"/>
      <c r="AP1478" s="792"/>
      <c r="AQ1478" s="793"/>
      <c r="AR1478" s="207">
        <f>K247</f>
        <v>6945</v>
      </c>
      <c r="AS1478" s="207">
        <f>L247</f>
        <v>7831</v>
      </c>
      <c r="AT1478" s="207">
        <f t="shared" si="58"/>
        <v>-886</v>
      </c>
      <c r="AU1478" s="95">
        <f t="shared" si="59"/>
        <v>-0.11314008428042395</v>
      </c>
    </row>
    <row r="1479" spans="39:47" ht="19.5" customHeight="1">
      <c r="AM1479" s="805">
        <v>5</v>
      </c>
      <c r="AN1479" s="789" t="s">
        <v>2009</v>
      </c>
      <c r="AO1479" s="792"/>
      <c r="AP1479" s="792"/>
      <c r="AQ1479" s="793"/>
      <c r="AR1479" s="207">
        <f>K209</f>
        <v>6807</v>
      </c>
      <c r="AS1479" s="207">
        <f>L209</f>
        <v>7374</v>
      </c>
      <c r="AT1479" s="207">
        <f>AR1479-AS1479</f>
        <v>-567</v>
      </c>
      <c r="AU1479" s="95">
        <f>IF(AND(AS1479=0,AR1479=0),0,IF(AS1479&lt;&gt;0,AT1479/ABS(AS1479),IF(AS1479=0,AT1479/ABS(AR1479),FLASE)))</f>
        <v>-0.07689178193653377</v>
      </c>
    </row>
    <row r="1480" spans="39:47" ht="19.5" customHeight="1">
      <c r="AM1480" s="788">
        <v>6</v>
      </c>
      <c r="AN1480" s="999" t="s">
        <v>1591</v>
      </c>
      <c r="AO1480" s="792"/>
      <c r="AP1480" s="792"/>
      <c r="AQ1480" s="793"/>
      <c r="AR1480" s="207">
        <f>AR1478-AR1479</f>
        <v>138</v>
      </c>
      <c r="AS1480" s="207">
        <f>AS1478-AS1479</f>
        <v>457</v>
      </c>
      <c r="AT1480" s="207">
        <f t="shared" si="58"/>
        <v>-319</v>
      </c>
      <c r="AU1480" s="95">
        <f t="shared" si="59"/>
        <v>-0.6980306345733042</v>
      </c>
    </row>
    <row r="1481" spans="39:47" ht="19.5" customHeight="1">
      <c r="AM1481" s="805">
        <v>7</v>
      </c>
      <c r="AN1481" s="1199" t="s">
        <v>564</v>
      </c>
      <c r="AO1481" s="792"/>
      <c r="AP1481" s="792"/>
      <c r="AQ1481" s="793"/>
      <c r="AR1481" s="207">
        <f>D95</f>
        <v>125</v>
      </c>
      <c r="AS1481" s="207">
        <f>E95</f>
        <v>239</v>
      </c>
      <c r="AT1481" s="207">
        <f t="shared" si="58"/>
        <v>-114</v>
      </c>
      <c r="AU1481" s="95">
        <f t="shared" si="59"/>
        <v>-0.4769874476987448</v>
      </c>
    </row>
    <row r="1482" spans="39:47" ht="19.5" customHeight="1">
      <c r="AM1482" s="788">
        <v>8</v>
      </c>
      <c r="AN1482" s="789" t="s">
        <v>1342</v>
      </c>
      <c r="AO1482" s="792"/>
      <c r="AP1482" s="792"/>
      <c r="AQ1482" s="793"/>
      <c r="AR1482" s="207">
        <f>K187</f>
        <v>442</v>
      </c>
      <c r="AS1482" s="207">
        <f>L187</f>
        <v>462</v>
      </c>
      <c r="AT1482" s="207">
        <f t="shared" si="58"/>
        <v>-20</v>
      </c>
      <c r="AU1482" s="95">
        <f t="shared" si="59"/>
        <v>-0.04329004329004329</v>
      </c>
    </row>
    <row r="1483" spans="39:47" ht="19.5" customHeight="1">
      <c r="AM1483" s="805">
        <v>9</v>
      </c>
      <c r="AN1483" s="999" t="s">
        <v>1592</v>
      </c>
      <c r="AO1483" s="792"/>
      <c r="AP1483" s="792"/>
      <c r="AQ1483" s="793"/>
      <c r="AR1483" s="207">
        <f>R294</f>
        <v>-352</v>
      </c>
      <c r="AS1483" s="207">
        <f>S294</f>
        <v>6562</v>
      </c>
      <c r="AT1483" s="207">
        <f t="shared" si="58"/>
        <v>-6914</v>
      </c>
      <c r="AU1483" s="95">
        <f t="shared" si="59"/>
        <v>-1.0536421822615056</v>
      </c>
    </row>
    <row r="1484" spans="39:47" ht="19.5" customHeight="1">
      <c r="AM1484" s="788">
        <v>10</v>
      </c>
      <c r="AN1484" s="999" t="s">
        <v>1593</v>
      </c>
      <c r="AO1484" s="792"/>
      <c r="AP1484" s="792"/>
      <c r="AQ1484" s="793"/>
      <c r="AR1484" s="207">
        <f>D98</f>
        <v>21489</v>
      </c>
      <c r="AS1484" s="207">
        <f>E98</f>
        <v>19317</v>
      </c>
      <c r="AT1484" s="207">
        <f t="shared" si="58"/>
        <v>2172</v>
      </c>
      <c r="AU1484" s="95">
        <f t="shared" si="59"/>
        <v>0.11243981984780245</v>
      </c>
    </row>
    <row r="1485" spans="39:47" ht="19.5" customHeight="1">
      <c r="AM1485" s="916">
        <v>11</v>
      </c>
      <c r="AN1485" s="1217" t="s">
        <v>1594</v>
      </c>
      <c r="AO1485" s="796"/>
      <c r="AP1485" s="796"/>
      <c r="AQ1485" s="797"/>
      <c r="AR1485" s="100">
        <f>AR1475+AR1476-AR1477</f>
        <v>11900</v>
      </c>
      <c r="AS1485" s="97">
        <f>AS1475+AS1476-AS1477</f>
        <v>11082</v>
      </c>
      <c r="AT1485" s="207">
        <f t="shared" si="58"/>
        <v>818</v>
      </c>
      <c r="AU1485" s="95">
        <f t="shared" si="59"/>
        <v>0.07381339108464176</v>
      </c>
    </row>
    <row r="1486" spans="39:47" ht="19.5" customHeight="1">
      <c r="AM1486" s="794">
        <v>12</v>
      </c>
      <c r="AN1486" s="1218" t="s">
        <v>1595</v>
      </c>
      <c r="AO1486" s="796"/>
      <c r="AP1486" s="796"/>
      <c r="AQ1486" s="796"/>
      <c r="AR1486" s="100"/>
      <c r="AS1486" s="795"/>
      <c r="AT1486" s="100"/>
      <c r="AU1486" s="101"/>
    </row>
    <row r="1487" spans="39:47" ht="19.5" customHeight="1">
      <c r="AM1487" s="805"/>
      <c r="AN1487" s="1219" t="s">
        <v>1596</v>
      </c>
      <c r="AO1487" s="1167"/>
      <c r="AP1487" s="1167"/>
      <c r="AQ1487" s="1167"/>
      <c r="AR1487" s="102">
        <f>AR1485/AR1478</f>
        <v>1.7134629229661626</v>
      </c>
      <c r="AS1487" s="1220">
        <f>AS1485/AS1478</f>
        <v>1.415144936789682</v>
      </c>
      <c r="AT1487" s="102">
        <f aca="true" t="shared" si="60" ref="AT1487:AT1495">AR1487-AS1487</f>
        <v>0.29831798617648064</v>
      </c>
      <c r="AU1487" s="103">
        <f aca="true" t="shared" si="61" ref="AU1487:AU1495">IF(AND(AS1487=0,AR1487=0),0,IF(AS1487&lt;&gt;0,AT1487/ABS(AS1487),IF(AS1487=0,AT1487/ABS(AR1487),FLASE)))</f>
        <v>0.21080383953690848</v>
      </c>
    </row>
    <row r="1488" spans="39:47" ht="19.5" customHeight="1">
      <c r="AM1488" s="805">
        <v>13</v>
      </c>
      <c r="AN1488" s="1216" t="s">
        <v>1597</v>
      </c>
      <c r="AO1488" s="789"/>
      <c r="AP1488" s="789"/>
      <c r="AQ1488" s="806"/>
      <c r="AR1488" s="910">
        <f>AR1476/AR1477</f>
        <v>7.15921052631579</v>
      </c>
      <c r="AS1488" s="910">
        <f>AS1476/AS1477</f>
        <v>5.583333333333333</v>
      </c>
      <c r="AT1488" s="109">
        <f t="shared" si="60"/>
        <v>1.5758771929824569</v>
      </c>
      <c r="AU1488" s="95">
        <f t="shared" si="61"/>
        <v>0.2822466614296938</v>
      </c>
    </row>
    <row r="1489" spans="39:47" ht="19.5" customHeight="1">
      <c r="AM1489" s="805">
        <v>14</v>
      </c>
      <c r="AN1489" s="1199" t="s">
        <v>1015</v>
      </c>
      <c r="AO1489" s="792"/>
      <c r="AP1489" s="792"/>
      <c r="AQ1489" s="793"/>
      <c r="AR1489" s="96">
        <f>MONTH($A$4)*30</f>
        <v>360</v>
      </c>
      <c r="AS1489" s="96">
        <f>MONTH($A$4)*30</f>
        <v>360</v>
      </c>
      <c r="AT1489" s="109"/>
      <c r="AU1489" s="103"/>
    </row>
    <row r="1490" spans="39:47" ht="19.5" customHeight="1">
      <c r="AM1490" s="805">
        <v>15</v>
      </c>
      <c r="AN1490" s="1199" t="s">
        <v>1598</v>
      </c>
      <c r="AO1490" s="792"/>
      <c r="AP1490" s="792"/>
      <c r="AQ1490" s="793"/>
      <c r="AR1490" s="96">
        <f>AR1478/AR1489</f>
        <v>19.291666666666668</v>
      </c>
      <c r="AS1490" s="96">
        <f>AS1478/AS1489</f>
        <v>21.752777777777776</v>
      </c>
      <c r="AT1490" s="207">
        <f t="shared" si="60"/>
        <v>-2.4611111111111086</v>
      </c>
      <c r="AU1490" s="103">
        <f t="shared" si="61"/>
        <v>-0.11314008428042385</v>
      </c>
    </row>
    <row r="1491" spans="39:47" ht="19.5" customHeight="1">
      <c r="AM1491" s="805">
        <v>16</v>
      </c>
      <c r="AN1491" s="1199" t="s">
        <v>1599</v>
      </c>
      <c r="AO1491" s="792"/>
      <c r="AP1491" s="792"/>
      <c r="AQ1491" s="793"/>
      <c r="AR1491" s="96">
        <f>AR1479/AR1489</f>
        <v>18.908333333333335</v>
      </c>
      <c r="AS1491" s="96">
        <f>AS1479/AS1489</f>
        <v>20.483333333333334</v>
      </c>
      <c r="AT1491" s="207">
        <f t="shared" si="60"/>
        <v>-1.5749999999999993</v>
      </c>
      <c r="AU1491" s="103">
        <f t="shared" si="61"/>
        <v>-0.07689178193653373</v>
      </c>
    </row>
    <row r="1492" spans="39:47" ht="19.5" customHeight="1">
      <c r="AM1492" s="805">
        <v>17</v>
      </c>
      <c r="AN1492" s="1199" t="s">
        <v>1600</v>
      </c>
      <c r="AO1492" s="792"/>
      <c r="AP1492" s="792"/>
      <c r="AQ1492" s="793"/>
      <c r="AR1492" s="96">
        <f>AR1475/AR1491</f>
        <v>381.78933450859404</v>
      </c>
      <c r="AS1492" s="96">
        <f>AS1475/AS1491</f>
        <v>320.8462164361269</v>
      </c>
      <c r="AT1492" s="207">
        <f t="shared" si="60"/>
        <v>60.94311807246714</v>
      </c>
      <c r="AU1492" s="103">
        <f t="shared" si="61"/>
        <v>0.18994494854702304</v>
      </c>
    </row>
    <row r="1493" spans="39:47" ht="19.5" customHeight="1">
      <c r="AM1493" s="805">
        <v>18</v>
      </c>
      <c r="AN1493" s="1199" t="s">
        <v>1601</v>
      </c>
      <c r="AO1493" s="792"/>
      <c r="AP1493" s="792"/>
      <c r="AQ1493" s="793"/>
      <c r="AR1493" s="1036">
        <f>AR1479/AR1475</f>
        <v>0.9429283834326084</v>
      </c>
      <c r="AS1493" s="1036">
        <f>AS1479/AS1475</f>
        <v>1.1220328667072428</v>
      </c>
      <c r="AT1493" s="911">
        <f t="shared" si="60"/>
        <v>-0.17910448327463435</v>
      </c>
      <c r="AU1493" s="103">
        <f t="shared" si="61"/>
        <v>-0.15962498834837227</v>
      </c>
    </row>
    <row r="1494" spans="39:47" ht="19.5" customHeight="1">
      <c r="AM1494" s="805">
        <v>19</v>
      </c>
      <c r="AN1494" s="1199" t="s">
        <v>1602</v>
      </c>
      <c r="AO1494" s="792"/>
      <c r="AP1494" s="792"/>
      <c r="AQ1494" s="793"/>
      <c r="AR1494" s="96">
        <f>AR1477/AR1491</f>
        <v>40.19391802556192</v>
      </c>
      <c r="AS1494" s="96">
        <f>AS1477/AS1491</f>
        <v>48.039056143205855</v>
      </c>
      <c r="AT1494" s="207">
        <f t="shared" si="60"/>
        <v>-7.845138117643934</v>
      </c>
      <c r="AU1494" s="103">
        <f t="shared" si="61"/>
        <v>-0.16330749909526415</v>
      </c>
    </row>
    <row r="1495" spans="39:47" ht="19.5" customHeight="1">
      <c r="AM1495" s="805">
        <v>20</v>
      </c>
      <c r="AN1495" s="1221" t="s">
        <v>1603</v>
      </c>
      <c r="AO1495" s="796"/>
      <c r="AP1495" s="796"/>
      <c r="AQ1495" s="797"/>
      <c r="AR1495" s="211">
        <f>AR1476/AR1490</f>
        <v>282.0388768898488</v>
      </c>
      <c r="AS1495" s="96">
        <f>AS1476/AS1490</f>
        <v>252.56544502617803</v>
      </c>
      <c r="AT1495" s="207">
        <f t="shared" si="60"/>
        <v>29.473431863670754</v>
      </c>
      <c r="AU1495" s="103">
        <f t="shared" si="61"/>
        <v>0.11669621654148246</v>
      </c>
    </row>
    <row r="1496" spans="39:47" ht="19.5" customHeight="1">
      <c r="AM1496" s="794">
        <v>21</v>
      </c>
      <c r="AN1496" s="1221" t="s">
        <v>1604</v>
      </c>
      <c r="AO1496" s="796"/>
      <c r="AP1496" s="796"/>
      <c r="AQ1496" s="796"/>
      <c r="AR1496" s="211"/>
      <c r="AS1496" s="211"/>
      <c r="AT1496" s="100"/>
      <c r="AU1496" s="101"/>
    </row>
    <row r="1497" spans="39:47" ht="19.5" customHeight="1">
      <c r="AM1497" s="805"/>
      <c r="AN1497" s="1222" t="s">
        <v>1605</v>
      </c>
      <c r="AO1497" s="1167"/>
      <c r="AP1497" s="1167"/>
      <c r="AQ1497" s="1167"/>
      <c r="AR1497" s="911">
        <f>AR1492-AR1494+AR1495</f>
        <v>623.6342933728808</v>
      </c>
      <c r="AS1497" s="911">
        <f>AS1492-AS1494+AS1495</f>
        <v>525.3726053190991</v>
      </c>
      <c r="AT1497" s="911">
        <f>AR1497-AS1497</f>
        <v>98.26168805378177</v>
      </c>
      <c r="AU1497" s="103">
        <f>IF(AND(AS1497=0,AR1497=0),0,IF(AS1497&lt;&gt;0,AT1497/ABS(AS1497),IF(AS1497=0,AT1497/ABS(AR1497),FLASE)))</f>
        <v>0.18703237865647734</v>
      </c>
    </row>
    <row r="1498" spans="39:47" ht="19.5" customHeight="1">
      <c r="AM1498" s="805">
        <v>22</v>
      </c>
      <c r="AN1498" s="999" t="s">
        <v>1762</v>
      </c>
      <c r="AO1498" s="789"/>
      <c r="AP1498" s="789"/>
      <c r="AQ1498" s="806"/>
      <c r="AR1498" s="1223">
        <f>AR1478/AR1481</f>
        <v>55.56</v>
      </c>
      <c r="AS1498" s="1224">
        <f>AS1478/AS1481</f>
        <v>32.76569037656904</v>
      </c>
      <c r="AT1498" s="911">
        <f>AR1498-AS1498</f>
        <v>22.794309623430962</v>
      </c>
      <c r="AU1498" s="95">
        <f>IF(AND(AS1498=0,AR1498=0),0,IF(AS1498&lt;&gt;0,AT1498/ABS(AS1498),IF(AS1498=0,AT1498/ABS(AR1498),FLASE)))</f>
        <v>0.6956761588558293</v>
      </c>
    </row>
    <row r="1499" spans="39:47" ht="19.5" customHeight="1">
      <c r="AM1499" s="788">
        <v>23</v>
      </c>
      <c r="AN1499" s="1199" t="s">
        <v>1763</v>
      </c>
      <c r="AO1499" s="792"/>
      <c r="AP1499" s="792"/>
      <c r="AQ1499" s="793"/>
      <c r="AR1499" s="96">
        <f>AR1481/AR1491</f>
        <v>6.610841780520052</v>
      </c>
      <c r="AS1499" s="96">
        <f>AS1481/AS1491</f>
        <v>11.668022782750203</v>
      </c>
      <c r="AT1499" s="207">
        <f>AR1499-AS1499</f>
        <v>-5.057181002230151</v>
      </c>
      <c r="AU1499" s="95">
        <f>IF(AND(AS1499=0,AR1499=0),0,IF(AS1499&lt;&gt;0,AT1499/ABS(AS1499),IF(AS1499=0,AT1499/ABS(AR1499),FLASE)))</f>
        <v>-0.4334222769693763</v>
      </c>
    </row>
    <row r="1500" spans="39:47" ht="19.5" customHeight="1">
      <c r="AM1500" s="805">
        <v>24</v>
      </c>
      <c r="AN1500" s="1199" t="s">
        <v>1764</v>
      </c>
      <c r="AO1500" s="792"/>
      <c r="AP1500" s="792"/>
      <c r="AQ1500" s="793"/>
      <c r="AR1500" s="845">
        <f>AR1483/AR1478</f>
        <v>-0.05068394528437725</v>
      </c>
      <c r="AS1500" s="845">
        <f>AS1483/AS1478</f>
        <v>0.8379517303026434</v>
      </c>
      <c r="AT1500" s="912">
        <f>AR1500-AS1500</f>
        <v>-0.8886356755870206</v>
      </c>
      <c r="AU1500" s="95">
        <f>IF(AND(AS1500=0,AR1500=0),0,IF(AS1500&lt;&gt;0,AT1500/ABS(AS1500),IF(AS1500=0,AT1500/ABS(AR1500),FLASE)))</f>
        <v>-1.0604855189762203</v>
      </c>
    </row>
    <row r="1501" spans="39:47" ht="19.5" customHeight="1" thickBot="1">
      <c r="AM1501" s="972">
        <v>25</v>
      </c>
      <c r="AN1501" s="1225" t="s">
        <v>1765</v>
      </c>
      <c r="AO1501" s="947"/>
      <c r="AP1501" s="947"/>
      <c r="AQ1501" s="1127"/>
      <c r="AR1501" s="852">
        <f>AR1483/AR1484</f>
        <v>-0.016380473730745963</v>
      </c>
      <c r="AS1501" s="852">
        <f>AS1483/AS1484</f>
        <v>0.33970078169488016</v>
      </c>
      <c r="AT1501" s="1226">
        <f>AR1501-AS1501</f>
        <v>-0.35608125542562613</v>
      </c>
      <c r="AU1501" s="900">
        <f>IF(AND(AS1501=0,AR1501=0),0,IF(AS1501&lt;&gt;0,AT1501/ABS(AS1501),IF(AS1501=0,AT1501/ABS(AR1501),FLASE)))</f>
        <v>-1.048220300374401</v>
      </c>
    </row>
    <row r="1502" spans="39:47" ht="19.5" customHeight="1">
      <c r="AM1502" s="871"/>
      <c r="AN1502" s="871" t="s">
        <v>1766</v>
      </c>
      <c r="AO1502" s="871"/>
      <c r="AP1502" s="975"/>
      <c r="AQ1502" s="975"/>
      <c r="AR1502" s="1485" t="str">
        <f>IF($AT$1478&gt;0,"у в е л и ч е н и   с","н а м а л е н и   с")</f>
        <v>н а м а л е н и   с</v>
      </c>
      <c r="AS1502" s="1485"/>
      <c r="AT1502" s="224">
        <f>ABS($AT$1478)</f>
        <v>886</v>
      </c>
      <c r="AU1502" s="871" t="s">
        <v>1767</v>
      </c>
    </row>
    <row r="1503" spans="39:47" ht="19.5" customHeight="1">
      <c r="AM1503" s="975" t="s">
        <v>1768</v>
      </c>
      <c r="AN1503" s="981">
        <f>$AU$1478</f>
        <v>-0.11314008428042395</v>
      </c>
      <c r="AO1503" s="1227" t="s">
        <v>1769</v>
      </c>
      <c r="AP1503" s="975"/>
      <c r="AQ1503" s="975"/>
      <c r="AR1503" s="1485" t="str">
        <f>IF($AU$1476&gt;0,"са   нараснали   с","са  н а м а л е н и  с")</f>
        <v>са  н а м а л е н и  с</v>
      </c>
      <c r="AS1503" s="1485"/>
      <c r="AT1503" s="981">
        <f>$AU$1476</f>
        <v>-0.009646887513651257</v>
      </c>
      <c r="AU1503" s="224" t="s">
        <v>1770</v>
      </c>
    </row>
    <row r="1504" spans="39:47" ht="19.5" customHeight="1">
      <c r="AM1504" s="871" t="s">
        <v>1771</v>
      </c>
      <c r="AN1504" s="871"/>
      <c r="AO1504" s="975"/>
      <c r="AP1504" s="975"/>
      <c r="AQ1504" s="1485" t="str">
        <f>IF($AN$1503&gt;$AT$1503,"п о л о ж и т е л н а","н  е  г  а  т  и  в  н  а")</f>
        <v>н  е  г  а  т  и  в  н  а</v>
      </c>
      <c r="AR1504" s="1485"/>
      <c r="AS1504" s="871" t="s">
        <v>1772</v>
      </c>
      <c r="AT1504" s="975"/>
      <c r="AU1504" s="975"/>
    </row>
    <row r="1505" spans="39:47" ht="19.5" customHeight="1">
      <c r="AM1505" s="871"/>
      <c r="AN1505" s="1485" t="str">
        <f>IF($AR$1487&gt;0,"Положителният","Отрицателният")</f>
        <v>Положителният</v>
      </c>
      <c r="AO1505" s="1485"/>
      <c r="AP1505" s="871" t="s">
        <v>1398</v>
      </c>
      <c r="AQ1505" s="871"/>
      <c r="AR1505" s="871"/>
      <c r="AS1505" s="871"/>
      <c r="AT1505" s="871"/>
      <c r="AU1505" s="871"/>
    </row>
    <row r="1506" spans="39:47" ht="19.5" customHeight="1">
      <c r="AM1506" s="871" t="s">
        <v>1773</v>
      </c>
      <c r="AN1506" s="871"/>
      <c r="AO1506" s="871"/>
      <c r="AP1506" s="975"/>
      <c r="AQ1506" s="975"/>
      <c r="AR1506" s="224" t="str">
        <f>IF($AR$1487&lt;0,"повече","по-малко")</f>
        <v>по-малко</v>
      </c>
      <c r="AS1506" s="871" t="s">
        <v>1399</v>
      </c>
      <c r="AT1506" s="871"/>
      <c r="AU1506" s="871"/>
    </row>
    <row r="1507" spans="39:47" ht="19.5" customHeight="1">
      <c r="AM1507" s="871" t="s">
        <v>1774</v>
      </c>
      <c r="AN1507" s="871"/>
      <c r="AO1507" s="871"/>
      <c r="AP1507" s="975"/>
      <c r="AQ1507" s="871"/>
      <c r="AR1507" s="871"/>
      <c r="AS1507" s="871"/>
      <c r="AT1507" s="871"/>
      <c r="AU1507" s="871"/>
    </row>
    <row r="1508" spans="39:47" ht="6" customHeight="1">
      <c r="AM1508" s="871"/>
      <c r="AN1508" s="871"/>
      <c r="AO1508" s="871"/>
      <c r="AP1508" s="975"/>
      <c r="AQ1508" s="871"/>
      <c r="AR1508" s="871"/>
      <c r="AS1508" s="871"/>
      <c r="AT1508" s="871"/>
      <c r="AU1508" s="871"/>
    </row>
    <row r="1509" spans="39:47" ht="19.5" customHeight="1">
      <c r="AM1509" s="871"/>
      <c r="AN1509" s="871" t="s">
        <v>1775</v>
      </c>
      <c r="AO1509" s="871"/>
      <c r="AP1509" s="871"/>
      <c r="AQ1509" s="871"/>
      <c r="AR1509" s="871"/>
      <c r="AS1509" s="1228">
        <f>$AR$1488</f>
        <v>7.15921052631579</v>
      </c>
      <c r="AT1509" s="224" t="s">
        <v>1776</v>
      </c>
      <c r="AU1509" s="974">
        <f>ABS($AU$1488)</f>
        <v>0.2822466614296938</v>
      </c>
    </row>
    <row r="1510" spans="39:47" ht="19.5" customHeight="1">
      <c r="AM1510" s="218" t="str">
        <f>IF($AU$1488&gt;0,"повече  от","по-малко  от")</f>
        <v>повече  от</v>
      </c>
      <c r="AN1510" s="871"/>
      <c r="AO1510" s="871" t="s">
        <v>1777</v>
      </c>
      <c r="AP1510" s="871"/>
      <c r="AQ1510" s="871"/>
      <c r="AR1510" s="871"/>
      <c r="AS1510" s="871"/>
      <c r="AT1510" s="871"/>
      <c r="AU1510" s="871"/>
    </row>
    <row r="1511" spans="39:47" ht="19.5" customHeight="1">
      <c r="AM1511" s="871" t="s">
        <v>1778</v>
      </c>
      <c r="AN1511" s="871"/>
      <c r="AO1511" s="871"/>
      <c r="AP1511" s="871"/>
      <c r="AQ1511" s="871"/>
      <c r="AR1511" s="871"/>
      <c r="AS1511" s="1212">
        <f>$AR$1488*100</f>
        <v>715.921052631579</v>
      </c>
      <c r="AT1511" s="871" t="s">
        <v>1779</v>
      </c>
      <c r="AU1511" s="871"/>
    </row>
    <row r="1512" spans="39:47" ht="19.5" customHeight="1">
      <c r="AM1512" s="871" t="s">
        <v>1780</v>
      </c>
      <c r="AN1512" s="871"/>
      <c r="AO1512" s="871"/>
      <c r="AP1512" s="871"/>
      <c r="AQ1512" s="871"/>
      <c r="AR1512" s="871"/>
      <c r="AS1512" s="871"/>
      <c r="AT1512" s="871"/>
      <c r="AU1512" s="871"/>
    </row>
    <row r="1513" spans="39:47" ht="19.5" customHeight="1">
      <c r="AM1513" s="871"/>
      <c r="AN1513" s="871" t="s">
        <v>1781</v>
      </c>
      <c r="AO1513" s="871"/>
      <c r="AP1513" s="871"/>
      <c r="AQ1513" s="871"/>
      <c r="AR1513" s="871"/>
      <c r="AS1513" s="871"/>
      <c r="AT1513" s="871"/>
      <c r="AU1513" s="1212">
        <f>AR1490</f>
        <v>19.291666666666668</v>
      </c>
    </row>
    <row r="1514" spans="39:47" ht="19.5" customHeight="1">
      <c r="AM1514" s="871" t="s">
        <v>1782</v>
      </c>
      <c r="AN1514" s="871"/>
      <c r="AO1514" s="1212">
        <f>ABS(AR1490-AR1491)</f>
        <v>0.38333333333333286</v>
      </c>
      <c r="AP1514" s="224" t="s">
        <v>82</v>
      </c>
      <c r="AQ1514" s="224" t="str">
        <f>IF(AR1490&gt;AR1491,"повече","по-малко")</f>
        <v>повече</v>
      </c>
      <c r="AR1514" s="871" t="s">
        <v>1783</v>
      </c>
      <c r="AS1514" s="871"/>
      <c r="AT1514" s="871"/>
      <c r="AU1514" s="975"/>
    </row>
    <row r="1515" spans="39:47" ht="19.5" customHeight="1">
      <c r="AM1515" s="871" t="s">
        <v>1784</v>
      </c>
      <c r="AN1515" s="1212">
        <f>ABS(AT1490)</f>
        <v>2.4611111111111086</v>
      </c>
      <c r="AO1515" s="224" t="s">
        <v>1785</v>
      </c>
      <c r="AP1515" s="224" t="str">
        <f>IF(AT1490&gt;0,"повече","по-малко")</f>
        <v>по-малко</v>
      </c>
      <c r="AQ1515" s="871" t="s">
        <v>1786</v>
      </c>
      <c r="AR1515" s="975"/>
      <c r="AS1515" s="975"/>
      <c r="AT1515" s="871"/>
      <c r="AU1515" s="871"/>
    </row>
    <row r="1516" spans="39:47" ht="19.5" customHeight="1">
      <c r="AM1516" s="871"/>
      <c r="AN1516" s="871" t="s">
        <v>1787</v>
      </c>
      <c r="AO1516" s="871"/>
      <c r="AP1516" s="871"/>
      <c r="AQ1516" s="871"/>
      <c r="AR1516" s="871"/>
      <c r="AS1516" s="871"/>
      <c r="AT1516" s="871"/>
      <c r="AU1516" s="975"/>
    </row>
    <row r="1517" spans="39:47" ht="19.5" customHeight="1">
      <c r="AM1517" s="1212">
        <f>$AR$1494</f>
        <v>40.19391802556192</v>
      </c>
      <c r="AN1517" s="224" t="s">
        <v>1788</v>
      </c>
      <c r="AO1517" s="1212">
        <f>ABS($AR$1494-$AR$1495)</f>
        <v>241.84495886428687</v>
      </c>
      <c r="AP1517" s="224" t="s">
        <v>1789</v>
      </c>
      <c r="AQ1517" s="224" t="str">
        <f>IF($AR$1494&gt;$AR$1495,"повече","по-малко")</f>
        <v>по-малко</v>
      </c>
      <c r="AR1517" s="871" t="s">
        <v>1790</v>
      </c>
      <c r="AS1517" s="871"/>
      <c r="AT1517" s="871"/>
      <c r="AU1517" s="975"/>
    </row>
    <row r="1518" spans="39:47" ht="19.5" customHeight="1">
      <c r="AM1518" s="975" t="s">
        <v>1791</v>
      </c>
      <c r="AN1518" s="975"/>
      <c r="AO1518" s="975"/>
      <c r="AP1518" s="975"/>
      <c r="AQ1518" s="975"/>
      <c r="AR1518" s="1212">
        <f>ABS($AT$1494)</f>
        <v>7.845138117643934</v>
      </c>
      <c r="AS1518" s="1307" t="s">
        <v>1792</v>
      </c>
      <c r="AT1518" s="224" t="str">
        <f>IF($AT$1494&gt;0,"повече","по-малко")</f>
        <v>по-малко</v>
      </c>
      <c r="AU1518" s="1307" t="s">
        <v>1793</v>
      </c>
    </row>
    <row r="1519" spans="39:47" ht="19.5" customHeight="1">
      <c r="AM1519" s="871" t="s">
        <v>1794</v>
      </c>
      <c r="AN1519" s="871"/>
      <c r="AO1519" s="871"/>
      <c r="AP1519" s="871"/>
      <c r="AQ1519" s="871"/>
      <c r="AR1519" s="871"/>
      <c r="AS1519" s="871"/>
      <c r="AT1519" s="871"/>
      <c r="AU1519" s="871"/>
    </row>
    <row r="1520" spans="39:47" ht="19.5" customHeight="1">
      <c r="AM1520" s="871"/>
      <c r="AN1520" s="871" t="s">
        <v>1379</v>
      </c>
      <c r="AO1520" s="871"/>
      <c r="AP1520" s="871"/>
      <c r="AQ1520" s="1485" t="str">
        <f>$AM$513</f>
        <v>"В И Н З А В О Д"  А Д - гр. АСЕНОВГРАД</v>
      </c>
      <c r="AR1520" s="1485"/>
      <c r="AS1520" s="1485"/>
      <c r="AT1520" s="1485"/>
      <c r="AU1520" s="1212">
        <f>$AR$1492</f>
        <v>381.78933450859404</v>
      </c>
    </row>
    <row r="1521" spans="39:47" ht="19.5" customHeight="1">
      <c r="AM1521" s="871" t="s">
        <v>1380</v>
      </c>
      <c r="AN1521" s="871"/>
      <c r="AO1521" s="871"/>
      <c r="AP1521" s="871"/>
      <c r="AQ1521" s="871"/>
      <c r="AR1521" s="871"/>
      <c r="AS1521" s="871"/>
      <c r="AT1521" s="871"/>
      <c r="AU1521" s="871"/>
    </row>
    <row r="1522" spans="39:47" ht="19.5" customHeight="1">
      <c r="AM1522" s="871" t="s">
        <v>1381</v>
      </c>
      <c r="AN1522" s="871"/>
      <c r="AO1522" s="871"/>
      <c r="AP1522" s="1212">
        <f>$AR$1495</f>
        <v>282.0388768898488</v>
      </c>
      <c r="AQ1522" s="871" t="s">
        <v>1382</v>
      </c>
      <c r="AR1522" s="871"/>
      <c r="AS1522" s="871"/>
      <c r="AT1522" s="871"/>
      <c r="AU1522" s="871"/>
    </row>
    <row r="1523" spans="39:47" ht="19.5" customHeight="1">
      <c r="AM1523" s="871" t="s">
        <v>1383</v>
      </c>
      <c r="AN1523" s="871"/>
      <c r="AO1523" s="871"/>
      <c r="AP1523" s="1212">
        <f>$AR$1494</f>
        <v>40.19391802556192</v>
      </c>
      <c r="AQ1523" s="871" t="s">
        <v>1384</v>
      </c>
      <c r="AR1523" s="871"/>
      <c r="AS1523" s="871"/>
      <c r="AT1523" s="871"/>
      <c r="AU1523" s="871"/>
    </row>
    <row r="1524" spans="39:47" ht="19.5" customHeight="1">
      <c r="AM1524" s="871" t="s">
        <v>1385</v>
      </c>
      <c r="AN1524" s="871"/>
      <c r="AO1524" s="227">
        <f>$AR$1497</f>
        <v>623.6342933728808</v>
      </c>
      <c r="AP1524" s="871" t="s">
        <v>1386</v>
      </c>
      <c r="AQ1524" s="871"/>
      <c r="AR1524" s="871"/>
      <c r="AS1524" s="871"/>
      <c r="AT1524" s="871"/>
      <c r="AU1524" s="871"/>
    </row>
    <row r="1525" spans="39:47" ht="19.5" customHeight="1">
      <c r="AM1525" s="871"/>
      <c r="AN1525" s="871" t="s">
        <v>1795</v>
      </c>
      <c r="AO1525" s="871"/>
      <c r="AP1525" s="871"/>
      <c r="AQ1525" s="871"/>
      <c r="AR1525" s="871"/>
      <c r="AS1525" s="227">
        <f>$AR$1497</f>
        <v>623.6342933728808</v>
      </c>
      <c r="AT1525" s="218" t="s">
        <v>1796</v>
      </c>
      <c r="AU1525" s="871"/>
    </row>
    <row r="1526" spans="39:47" ht="19.5" customHeight="1">
      <c r="AM1526" s="871" t="s">
        <v>1797</v>
      </c>
      <c r="AN1526" s="871"/>
      <c r="AO1526" s="871"/>
      <c r="AP1526" s="871"/>
      <c r="AQ1526" s="871"/>
      <c r="AR1526" s="871"/>
      <c r="AS1526" s="975"/>
      <c r="AT1526" s="1228">
        <f>$AR$1487*100</f>
        <v>171.34629229661627</v>
      </c>
      <c r="AU1526" s="224" t="s">
        <v>2183</v>
      </c>
    </row>
    <row r="1527" spans="39:47" ht="19.5" customHeight="1">
      <c r="AM1527" s="871" t="s">
        <v>1798</v>
      </c>
      <c r="AN1527" s="871"/>
      <c r="AO1527" s="871"/>
      <c r="AP1527" s="871"/>
      <c r="AQ1527" s="871"/>
      <c r="AR1527" s="871"/>
      <c r="AS1527" s="871"/>
      <c r="AT1527" s="871"/>
      <c r="AU1527" s="1228">
        <f>$AS$1487*100</f>
        <v>141.5144936789682</v>
      </c>
    </row>
    <row r="1528" spans="39:47" ht="19.5" customHeight="1">
      <c r="AM1528" s="871" t="s">
        <v>1799</v>
      </c>
      <c r="AN1528" s="871"/>
      <c r="AO1528" s="871"/>
      <c r="AP1528" s="871"/>
      <c r="AQ1528" s="871"/>
      <c r="AR1528" s="871"/>
      <c r="AS1528" s="871"/>
      <c r="AT1528" s="871"/>
      <c r="AU1528" s="871"/>
    </row>
    <row r="1529" spans="39:47" ht="19.5" customHeight="1">
      <c r="AM1529" s="871"/>
      <c r="AN1529" s="871" t="s">
        <v>1800</v>
      </c>
      <c r="AO1529" s="871"/>
      <c r="AP1529" s="871"/>
      <c r="AQ1529" s="871"/>
      <c r="AR1529" s="871"/>
      <c r="AS1529" s="871"/>
      <c r="AT1529" s="871"/>
      <c r="AU1529" s="871"/>
    </row>
    <row r="1530" spans="39:47" ht="19.5" customHeight="1">
      <c r="AM1530" s="871" t="s">
        <v>1801</v>
      </c>
      <c r="AN1530" s="871"/>
      <c r="AO1530" s="871"/>
      <c r="AP1530" s="871"/>
      <c r="AQ1530" s="975"/>
      <c r="AR1530" s="1212">
        <f>1000000*$AR$1487</f>
        <v>1713462.9229661627</v>
      </c>
      <c r="AS1530" s="871" t="s">
        <v>1802</v>
      </c>
      <c r="AT1530" s="871"/>
      <c r="AU1530" s="871"/>
    </row>
    <row r="1531" spans="39:47" ht="19.5" customHeight="1">
      <c r="AM1531" s="871" t="s">
        <v>1803</v>
      </c>
      <c r="AN1531" s="871"/>
      <c r="AO1531" s="871"/>
      <c r="AP1531" s="871"/>
      <c r="AQ1531" s="871"/>
      <c r="AR1531" s="871"/>
      <c r="AS1531" s="871"/>
      <c r="AT1531" s="871"/>
      <c r="AU1531" s="871"/>
    </row>
    <row r="1532" spans="39:47" ht="19.5" customHeight="1">
      <c r="AM1532" s="871"/>
      <c r="AN1532" s="871" t="s">
        <v>1804</v>
      </c>
      <c r="AO1532" s="871"/>
      <c r="AP1532" s="871"/>
      <c r="AQ1532" s="871"/>
      <c r="AR1532" s="871"/>
      <c r="AS1532" s="871"/>
      <c r="AT1532" s="227">
        <f>AR1498</f>
        <v>55.56</v>
      </c>
      <c r="AU1532" s="218" t="s">
        <v>1805</v>
      </c>
    </row>
    <row r="1533" spans="39:47" ht="19.5" customHeight="1">
      <c r="AM1533" s="871" t="s">
        <v>1158</v>
      </c>
      <c r="AN1533" s="227">
        <f>AS1498</f>
        <v>32.76569037656904</v>
      </c>
      <c r="AO1533" s="871" t="s">
        <v>1806</v>
      </c>
      <c r="AP1533" s="871"/>
      <c r="AQ1533" s="871"/>
      <c r="AR1533" s="871"/>
      <c r="AS1533" s="871"/>
      <c r="AT1533" s="871"/>
      <c r="AU1533" s="871"/>
    </row>
    <row r="1534" spans="39:47" ht="19.5" customHeight="1">
      <c r="AM1534" s="871" t="s">
        <v>1807</v>
      </c>
      <c r="AN1534" s="871"/>
      <c r="AO1534" s="871"/>
      <c r="AP1534" s="871"/>
      <c r="AQ1534" s="871"/>
      <c r="AR1534" s="871"/>
      <c r="AS1534" s="871"/>
      <c r="AT1534" s="871"/>
      <c r="AU1534" s="871"/>
    </row>
    <row r="1535" spans="39:47" ht="19.5" customHeight="1">
      <c r="AM1535" s="871" t="s">
        <v>1808</v>
      </c>
      <c r="AN1535" s="871"/>
      <c r="AO1535" s="871"/>
      <c r="AP1535" s="871"/>
      <c r="AQ1535" s="871"/>
      <c r="AR1535" s="871"/>
      <c r="AS1535" s="871"/>
      <c r="AT1535" s="871"/>
      <c r="AU1535" s="871"/>
    </row>
    <row r="1536" spans="39:47" ht="19.5" customHeight="1">
      <c r="AM1536" s="871"/>
      <c r="AN1536" s="871" t="s">
        <v>1809</v>
      </c>
      <c r="AO1536" s="871"/>
      <c r="AP1536" s="871"/>
      <c r="AQ1536" s="871"/>
      <c r="AR1536" s="871"/>
      <c r="AS1536" s="871"/>
      <c r="AT1536" s="871"/>
      <c r="AU1536" s="871"/>
    </row>
    <row r="1537" spans="39:47" ht="19.5" customHeight="1">
      <c r="AM1537" s="871" t="s">
        <v>1810</v>
      </c>
      <c r="AN1537" s="871"/>
      <c r="AO1537" s="871"/>
      <c r="AP1537" s="871"/>
      <c r="AQ1537" s="871"/>
      <c r="AR1537" s="871"/>
      <c r="AS1537" s="871"/>
      <c r="AT1537" s="871"/>
      <c r="AU1537" s="871"/>
    </row>
    <row r="1538" spans="39:47" ht="19.5" customHeight="1">
      <c r="AM1538" s="871" t="s">
        <v>1811</v>
      </c>
      <c r="AN1538" s="871"/>
      <c r="AO1538" s="871"/>
      <c r="AP1538" s="871"/>
      <c r="AQ1538" s="871"/>
      <c r="AR1538" s="1212">
        <f>$AR$1499</f>
        <v>6.610841780520052</v>
      </c>
      <c r="AS1538" s="871" t="s">
        <v>613</v>
      </c>
      <c r="AT1538" s="871"/>
      <c r="AU1538" s="871"/>
    </row>
    <row r="1539" spans="39:47" ht="19.5" customHeight="1">
      <c r="AM1539" s="871"/>
      <c r="AN1539" s="871" t="s">
        <v>1812</v>
      </c>
      <c r="AO1539" s="871"/>
      <c r="AP1539" s="871"/>
      <c r="AQ1539" s="871"/>
      <c r="AR1539" s="871"/>
      <c r="AS1539" s="871"/>
      <c r="AT1539" s="871"/>
      <c r="AU1539" s="871"/>
    </row>
    <row r="1540" spans="39:47" ht="19.5" customHeight="1">
      <c r="AM1540" s="871" t="s">
        <v>1813</v>
      </c>
      <c r="AN1540" s="871"/>
      <c r="AO1540" s="871"/>
      <c r="AP1540" s="871"/>
      <c r="AQ1540" s="871"/>
      <c r="AR1540" s="1212"/>
      <c r="AS1540" s="871"/>
      <c r="AT1540" s="871"/>
      <c r="AU1540" s="871"/>
    </row>
    <row r="1541" spans="39:47" ht="19.5" customHeight="1">
      <c r="AM1541" s="871" t="s">
        <v>1814</v>
      </c>
      <c r="AN1541" s="871"/>
      <c r="AO1541" s="981">
        <f>AR1500</f>
        <v>-0.05068394528437725</v>
      </c>
      <c r="AP1541" s="224" t="s">
        <v>1776</v>
      </c>
      <c r="AQ1541" s="981">
        <f>AU1500</f>
        <v>-1.0604855189762203</v>
      </c>
      <c r="AR1541" s="224" t="str">
        <f>IF(AR1500&gt;AS1500,"повече","по-малко")</f>
        <v>по-малко</v>
      </c>
      <c r="AS1541" s="871" t="s">
        <v>1815</v>
      </c>
      <c r="AT1541" s="871"/>
      <c r="AU1541" s="871"/>
    </row>
    <row r="1542" spans="39:47" ht="19.5" customHeight="1">
      <c r="AM1542" s="871"/>
      <c r="AN1542" s="871" t="s">
        <v>1816</v>
      </c>
      <c r="AO1542" s="871"/>
      <c r="AP1542" s="871"/>
      <c r="AQ1542" s="871"/>
      <c r="AR1542" s="1212"/>
      <c r="AS1542" s="871"/>
      <c r="AT1542" s="981">
        <f>AR1501</f>
        <v>-0.016380473730745963</v>
      </c>
      <c r="AU1542" s="224" t="s">
        <v>1817</v>
      </c>
    </row>
    <row r="1543" spans="39:47" ht="19.5" customHeight="1">
      <c r="AM1543" s="871" t="s">
        <v>1818</v>
      </c>
      <c r="AN1543" s="981">
        <f>AU1501</f>
        <v>-1.048220300374401</v>
      </c>
      <c r="AO1543" s="224" t="str">
        <f>IF(AR1501&gt;AS1501,"повече","по-малко")</f>
        <v>по-малко</v>
      </c>
      <c r="AP1543" s="871" t="s">
        <v>1819</v>
      </c>
      <c r="AQ1543" s="871"/>
      <c r="AR1543" s="1212"/>
      <c r="AS1543" s="871"/>
      <c r="AT1543" s="871"/>
      <c r="AU1543" s="871"/>
    </row>
    <row r="1544" spans="39:47" ht="19.5" customHeight="1">
      <c r="AM1544" s="871" t="s">
        <v>1820</v>
      </c>
      <c r="AN1544" s="871"/>
      <c r="AO1544" s="871"/>
      <c r="AP1544" s="871"/>
      <c r="AQ1544" s="871"/>
      <c r="AR1544" s="1212"/>
      <c r="AS1544" s="871"/>
      <c r="AT1544" s="871"/>
      <c r="AU1544" s="871"/>
    </row>
    <row r="1545" spans="39:47" ht="4.5" customHeight="1">
      <c r="AM1545" s="871"/>
      <c r="AN1545" s="871"/>
      <c r="AO1545" s="871"/>
      <c r="AP1545" s="871"/>
      <c r="AQ1545" s="871"/>
      <c r="AR1545" s="871"/>
      <c r="AS1545" s="871"/>
      <c r="AT1545" s="871"/>
      <c r="AU1545" s="871"/>
    </row>
    <row r="1546" spans="39:47" ht="17.25" customHeight="1">
      <c r="AM1546" s="871"/>
      <c r="AN1546" s="871" t="s">
        <v>1056</v>
      </c>
      <c r="AO1546" s="871"/>
      <c r="AP1546" s="871"/>
      <c r="AQ1546" s="871"/>
      <c r="AR1546" s="871"/>
      <c r="AS1546" s="871"/>
      <c r="AT1546" s="871"/>
      <c r="AU1546" s="871"/>
    </row>
    <row r="1547" spans="39:47" ht="17.25" customHeight="1">
      <c r="AM1547" s="871" t="s">
        <v>1057</v>
      </c>
      <c r="AN1547" s="871"/>
      <c r="AO1547" s="871"/>
      <c r="AP1547" s="871"/>
      <c r="AQ1547" s="871"/>
      <c r="AR1547" s="871"/>
      <c r="AS1547" s="871"/>
      <c r="AT1547" s="871"/>
      <c r="AU1547" s="871"/>
    </row>
    <row r="1548" spans="39:47" ht="17.25" customHeight="1">
      <c r="AM1548" s="871" t="s">
        <v>2165</v>
      </c>
      <c r="AN1548" s="871"/>
      <c r="AO1548" s="871"/>
      <c r="AP1548" s="871"/>
      <c r="AQ1548" s="871"/>
      <c r="AR1548" s="871"/>
      <c r="AS1548" s="871"/>
      <c r="AT1548" s="871"/>
      <c r="AU1548" s="871"/>
    </row>
    <row r="1549" spans="39:47" ht="17.25" customHeight="1" thickBot="1">
      <c r="AM1549" s="1523" t="str">
        <f>$AM$513</f>
        <v>"В И Н З А В О Д"  А Д - гр. АСЕНОВГРАД</v>
      </c>
      <c r="AN1549" s="1523"/>
      <c r="AO1549" s="1523"/>
      <c r="AP1549" s="1523"/>
      <c r="AQ1549" s="1523"/>
      <c r="AR1549" s="1523"/>
      <c r="AS1549" s="110"/>
      <c r="AT1549" s="1104" t="s">
        <v>1610</v>
      </c>
      <c r="AU1549" s="871"/>
    </row>
    <row r="1550" spans="39:47" ht="48.75" thickBot="1">
      <c r="AM1550" s="871"/>
      <c r="AN1550" s="1106" t="s">
        <v>2166</v>
      </c>
      <c r="AO1550" s="1107" t="s">
        <v>1358</v>
      </c>
      <c r="AP1550" s="1108"/>
      <c r="AQ1550" s="1108"/>
      <c r="AR1550" s="1108"/>
      <c r="AS1550" s="1109"/>
      <c r="AT1550" s="1110" t="s">
        <v>2167</v>
      </c>
      <c r="AU1550" s="608"/>
    </row>
    <row r="1551" spans="39:47" ht="16.5" customHeight="1">
      <c r="AM1551" s="871"/>
      <c r="AN1551" s="1111"/>
      <c r="AO1551" s="1112" t="s">
        <v>1474</v>
      </c>
      <c r="AP1551" s="1113"/>
      <c r="AQ1551" s="1113"/>
      <c r="AR1551" s="1113"/>
      <c r="AS1551" s="1114"/>
      <c r="AT1551" s="1115">
        <f>AT1552+AT1561</f>
        <v>2172</v>
      </c>
      <c r="AU1551" s="608"/>
    </row>
    <row r="1552" spans="39:47" ht="16.5" customHeight="1">
      <c r="AM1552" s="871"/>
      <c r="AN1552" s="1116"/>
      <c r="AO1552" s="1117" t="s">
        <v>1475</v>
      </c>
      <c r="AP1552" s="792"/>
      <c r="AQ1552" s="792"/>
      <c r="AR1552" s="792"/>
      <c r="AS1552" s="793"/>
      <c r="AT1552" s="1115">
        <f>SUM(AT1553:AT1560)</f>
        <v>2455</v>
      </c>
      <c r="AU1552" s="608"/>
    </row>
    <row r="1553" spans="39:47" ht="16.5" customHeight="1">
      <c r="AM1553" s="871"/>
      <c r="AN1553" s="1030">
        <v>1</v>
      </c>
      <c r="AO1553" s="1118" t="s">
        <v>555</v>
      </c>
      <c r="AP1553" s="792"/>
      <c r="AQ1553" s="792"/>
      <c r="AR1553" s="792"/>
      <c r="AS1553" s="793"/>
      <c r="AT1553" s="1115">
        <f>D114-E114</f>
        <v>0</v>
      </c>
      <c r="AU1553" s="608"/>
    </row>
    <row r="1554" spans="39:47" ht="16.5" customHeight="1">
      <c r="AM1554" s="871"/>
      <c r="AN1554" s="1030">
        <v>2</v>
      </c>
      <c r="AO1554" s="1118" t="s">
        <v>1617</v>
      </c>
      <c r="AP1554" s="792"/>
      <c r="AQ1554" s="792"/>
      <c r="AR1554" s="792"/>
      <c r="AS1554" s="793"/>
      <c r="AT1554" s="1115">
        <f>D122-E122</f>
        <v>410</v>
      </c>
      <c r="AU1554" s="608"/>
    </row>
    <row r="1555" spans="39:47" ht="16.5" customHeight="1">
      <c r="AM1555" s="871"/>
      <c r="AN1555" s="1030">
        <v>3</v>
      </c>
      <c r="AO1555" s="1118" t="s">
        <v>1618</v>
      </c>
      <c r="AP1555" s="792"/>
      <c r="AQ1555" s="792"/>
      <c r="AR1555" s="792"/>
      <c r="AS1555" s="793"/>
      <c r="AT1555" s="1115">
        <f>D124-E124</f>
        <v>0</v>
      </c>
      <c r="AU1555" s="608"/>
    </row>
    <row r="1556" spans="39:47" ht="16.5" customHeight="1">
      <c r="AM1556" s="871"/>
      <c r="AN1556" s="1030">
        <v>4</v>
      </c>
      <c r="AO1556" s="1118" t="s">
        <v>1476</v>
      </c>
      <c r="AP1556" s="792"/>
      <c r="AQ1556" s="792"/>
      <c r="AR1556" s="792"/>
      <c r="AS1556" s="793"/>
      <c r="AT1556" s="1115">
        <f>D128-E128</f>
        <v>-322</v>
      </c>
      <c r="AU1556" s="608"/>
    </row>
    <row r="1557" spans="39:47" ht="16.5" customHeight="1">
      <c r="AM1557" s="871"/>
      <c r="AN1557" s="1030">
        <v>5</v>
      </c>
      <c r="AO1557" s="1118" t="s">
        <v>396</v>
      </c>
      <c r="AP1557" s="792"/>
      <c r="AQ1557" s="792"/>
      <c r="AR1557" s="792"/>
      <c r="AS1557" s="793"/>
      <c r="AT1557" s="1115">
        <f>D131-E131</f>
        <v>0</v>
      </c>
      <c r="AU1557" s="1119"/>
    </row>
    <row r="1558" spans="39:47" ht="16.5" customHeight="1">
      <c r="AM1558" s="871"/>
      <c r="AN1558" s="1030">
        <v>6</v>
      </c>
      <c r="AO1558" s="1118" t="s">
        <v>1212</v>
      </c>
      <c r="AP1558" s="792"/>
      <c r="AQ1558" s="792"/>
      <c r="AR1558" s="792"/>
      <c r="AS1558" s="793"/>
      <c r="AT1558" s="1115">
        <f>D141-E141</f>
        <v>2367</v>
      </c>
      <c r="AU1558" s="608"/>
    </row>
    <row r="1559" spans="39:47" ht="16.5" customHeight="1">
      <c r="AM1559" s="871"/>
      <c r="AN1559" s="1030">
        <v>7</v>
      </c>
      <c r="AO1559" s="1118" t="s">
        <v>1004</v>
      </c>
      <c r="AP1559" s="792"/>
      <c r="AQ1559" s="792"/>
      <c r="AR1559" s="792"/>
      <c r="AS1559" s="793"/>
      <c r="AT1559" s="1115">
        <f>D143-E143</f>
        <v>0</v>
      </c>
      <c r="AU1559" s="608"/>
    </row>
    <row r="1560" spans="39:47" ht="16.5" customHeight="1">
      <c r="AM1560" s="871"/>
      <c r="AN1560" s="1030">
        <v>8</v>
      </c>
      <c r="AO1560" s="1118" t="s">
        <v>1144</v>
      </c>
      <c r="AP1560" s="792"/>
      <c r="AQ1560" s="792"/>
      <c r="AR1560" s="792"/>
      <c r="AS1560" s="793"/>
      <c r="AT1560" s="1115">
        <f>D54-E54</f>
        <v>0</v>
      </c>
      <c r="AU1560" s="608"/>
    </row>
    <row r="1561" spans="39:47" ht="16.5" customHeight="1">
      <c r="AM1561" s="871"/>
      <c r="AN1561" s="1116"/>
      <c r="AO1561" s="1117" t="s">
        <v>581</v>
      </c>
      <c r="AP1561" s="792"/>
      <c r="AQ1561" s="792"/>
      <c r="AR1561" s="792"/>
      <c r="AS1561" s="793"/>
      <c r="AT1561" s="1115">
        <f>SUM(AT1562:AT1563)</f>
        <v>-283</v>
      </c>
      <c r="AU1561" s="608"/>
    </row>
    <row r="1562" spans="39:47" ht="16.5" customHeight="1">
      <c r="AM1562" s="871"/>
      <c r="AN1562" s="1030">
        <v>1</v>
      </c>
      <c r="AO1562" s="1118" t="s">
        <v>29</v>
      </c>
      <c r="AP1562" s="792"/>
      <c r="AQ1562" s="792"/>
      <c r="AR1562" s="792"/>
      <c r="AS1562" s="793"/>
      <c r="AT1562" s="1115">
        <f>D164-E164</f>
        <v>-224</v>
      </c>
      <c r="AU1562" s="608"/>
    </row>
    <row r="1563" spans="39:47" ht="16.5" customHeight="1" thickBot="1">
      <c r="AM1563" s="871"/>
      <c r="AN1563" s="1030">
        <v>2</v>
      </c>
      <c r="AO1563" s="1118" t="s">
        <v>1004</v>
      </c>
      <c r="AP1563" s="792"/>
      <c r="AQ1563" s="792"/>
      <c r="AR1563" s="792"/>
      <c r="AS1563" s="793"/>
      <c r="AT1563" s="1115">
        <f>D165-E165</f>
        <v>-59</v>
      </c>
      <c r="AU1563" s="608"/>
    </row>
    <row r="1564" spans="39:47" ht="16.5" customHeight="1">
      <c r="AM1564" s="871"/>
      <c r="AN1564" s="1120"/>
      <c r="AO1564" s="1121" t="s">
        <v>2313</v>
      </c>
      <c r="AP1564" s="1122"/>
      <c r="AQ1564" s="1122"/>
      <c r="AR1564" s="1122"/>
      <c r="AS1564" s="1123"/>
      <c r="AT1564" s="1124">
        <f>AT1565+AT1572</f>
        <v>2172</v>
      </c>
      <c r="AU1564" s="608"/>
    </row>
    <row r="1565" spans="39:47" ht="16.5" customHeight="1">
      <c r="AM1565" s="871"/>
      <c r="AN1565" s="1116"/>
      <c r="AO1565" s="1117" t="s">
        <v>2314</v>
      </c>
      <c r="AP1565" s="792"/>
      <c r="AQ1565" s="792"/>
      <c r="AR1565" s="792"/>
      <c r="AS1565" s="793"/>
      <c r="AT1565" s="1115">
        <f>SUM(AT1566:AT1571)</f>
        <v>1689</v>
      </c>
      <c r="AU1565" s="608"/>
    </row>
    <row r="1566" spans="39:47" ht="16.5" customHeight="1">
      <c r="AM1566" s="871"/>
      <c r="AN1566" s="1030">
        <v>1</v>
      </c>
      <c r="AO1566" s="110" t="s">
        <v>2315</v>
      </c>
      <c r="AP1566" s="110"/>
      <c r="AQ1566" s="110"/>
      <c r="AR1566" s="110"/>
      <c r="AS1566" s="110"/>
      <c r="AT1566" s="1115">
        <f>D111-E111</f>
        <v>0</v>
      </c>
      <c r="AU1566" s="608"/>
    </row>
    <row r="1567" spans="39:47" ht="16.5" customHeight="1">
      <c r="AM1567" s="871"/>
      <c r="AN1567" s="1030">
        <v>2</v>
      </c>
      <c r="AO1567" s="1118" t="s">
        <v>397</v>
      </c>
      <c r="AP1567" s="792"/>
      <c r="AQ1567" s="792"/>
      <c r="AR1567" s="792"/>
      <c r="AS1567" s="793"/>
      <c r="AT1567" s="1115">
        <f>(D112-E112)+(D113-E113)</f>
        <v>0</v>
      </c>
      <c r="AU1567" s="1119"/>
    </row>
    <row r="1568" spans="39:47" ht="16.5" customHeight="1">
      <c r="AM1568" s="871"/>
      <c r="AN1568" s="1030">
        <v>3</v>
      </c>
      <c r="AO1568" s="1118" t="s">
        <v>32</v>
      </c>
      <c r="AP1568" s="792"/>
      <c r="AQ1568" s="792"/>
      <c r="AR1568" s="792"/>
      <c r="AS1568" s="793"/>
      <c r="AT1568" s="1115">
        <f>D20-E20</f>
        <v>-212</v>
      </c>
      <c r="AU1568" s="608"/>
    </row>
    <row r="1569" spans="39:47" ht="16.5" customHeight="1">
      <c r="AM1569" s="871"/>
      <c r="AN1569" s="1030">
        <v>4</v>
      </c>
      <c r="AO1569" s="1118" t="s">
        <v>2412</v>
      </c>
      <c r="AP1569" s="792"/>
      <c r="AQ1569" s="792"/>
      <c r="AR1569" s="792"/>
      <c r="AS1569" s="793"/>
      <c r="AT1569" s="1115">
        <f>D26-E26</f>
        <v>-5</v>
      </c>
      <c r="AU1569" s="608"/>
    </row>
    <row r="1570" spans="39:47" ht="16.5" customHeight="1">
      <c r="AM1570" s="871"/>
      <c r="AN1570" s="1030">
        <v>5</v>
      </c>
      <c r="AO1570" s="1118" t="s">
        <v>2413</v>
      </c>
      <c r="AP1570" s="792"/>
      <c r="AQ1570" s="792"/>
      <c r="AR1570" s="792"/>
      <c r="AS1570" s="793"/>
      <c r="AT1570" s="1115">
        <f>D45-E45</f>
        <v>1906</v>
      </c>
      <c r="AU1570" s="608"/>
    </row>
    <row r="1571" spans="39:47" ht="16.5" customHeight="1">
      <c r="AM1571" s="871"/>
      <c r="AN1571" s="1030">
        <v>6</v>
      </c>
      <c r="AO1571" s="1118" t="s">
        <v>1448</v>
      </c>
      <c r="AP1571" s="792"/>
      <c r="AQ1571" s="792"/>
      <c r="AR1571" s="792"/>
      <c r="AS1571" s="793"/>
      <c r="AT1571" s="1115">
        <f>D53-E53</f>
        <v>0</v>
      </c>
      <c r="AU1571" s="608"/>
    </row>
    <row r="1572" spans="39:47" ht="16.5" customHeight="1">
      <c r="AM1572" s="871"/>
      <c r="AN1572" s="1116"/>
      <c r="AO1572" s="1117" t="s">
        <v>1449</v>
      </c>
      <c r="AP1572" s="792"/>
      <c r="AQ1572" s="792"/>
      <c r="AR1572" s="792"/>
      <c r="AS1572" s="793"/>
      <c r="AT1572" s="1115">
        <f>SUM(AT1573:AT1577)</f>
        <v>483</v>
      </c>
      <c r="AU1572" s="608"/>
    </row>
    <row r="1573" spans="39:47" ht="16.5" customHeight="1">
      <c r="AM1573" s="871"/>
      <c r="AN1573" s="1030">
        <v>1</v>
      </c>
      <c r="AO1573" s="1118" t="s">
        <v>916</v>
      </c>
      <c r="AP1573" s="792"/>
      <c r="AQ1573" s="792"/>
      <c r="AR1573" s="792"/>
      <c r="AS1573" s="793"/>
      <c r="AT1573" s="1115">
        <f>D68-E68</f>
        <v>647</v>
      </c>
      <c r="AU1573" s="608"/>
    </row>
    <row r="1574" spans="39:47" ht="16.5" customHeight="1">
      <c r="AM1574" s="871"/>
      <c r="AN1574" s="1030">
        <v>2</v>
      </c>
      <c r="AO1574" s="1118" t="s">
        <v>340</v>
      </c>
      <c r="AP1574" s="792"/>
      <c r="AQ1574" s="792"/>
      <c r="AR1574" s="792"/>
      <c r="AS1574" s="793"/>
      <c r="AT1574" s="1115">
        <f>D78-E78</f>
        <v>-53</v>
      </c>
      <c r="AU1574" s="608"/>
    </row>
    <row r="1575" spans="39:47" ht="16.5" customHeight="1">
      <c r="AM1575" s="871"/>
      <c r="AN1575" s="1030">
        <v>3</v>
      </c>
      <c r="AO1575" s="1118" t="s">
        <v>917</v>
      </c>
      <c r="AP1575" s="792"/>
      <c r="AQ1575" s="792"/>
      <c r="AR1575" s="792"/>
      <c r="AS1575" s="793"/>
      <c r="AT1575" s="1115">
        <f>D88-E88</f>
        <v>0</v>
      </c>
      <c r="AU1575" s="608"/>
    </row>
    <row r="1576" spans="39:47" ht="16.5" customHeight="1">
      <c r="AM1576" s="871"/>
      <c r="AN1576" s="1030">
        <v>4</v>
      </c>
      <c r="AO1576" s="1118" t="s">
        <v>564</v>
      </c>
      <c r="AP1576" s="792"/>
      <c r="AQ1576" s="792"/>
      <c r="AR1576" s="792"/>
      <c r="AS1576" s="793"/>
      <c r="AT1576" s="1115">
        <f>D95-E95</f>
        <v>-114</v>
      </c>
      <c r="AU1576" s="608"/>
    </row>
    <row r="1577" spans="39:60" ht="16.5" customHeight="1" thickBot="1">
      <c r="AM1577" s="871"/>
      <c r="AN1577" s="1125">
        <v>5</v>
      </c>
      <c r="AO1577" s="1126" t="s">
        <v>1394</v>
      </c>
      <c r="AP1577" s="947"/>
      <c r="AQ1577" s="947"/>
      <c r="AR1577" s="947"/>
      <c r="AS1577" s="1127"/>
      <c r="AT1577" s="1128">
        <f>D96-E96</f>
        <v>3</v>
      </c>
      <c r="AU1577" s="608"/>
      <c r="BF1577" s="600" t="str">
        <f>+' -'!$E$21</f>
        <v>Програмата за финансов анализ е лицензирана на:</v>
      </c>
      <c r="BG1577" s="582"/>
      <c r="BH1577" s="582"/>
    </row>
    <row r="1578" spans="39:60" ht="16.5" customHeight="1" thickBot="1">
      <c r="AM1578" s="218"/>
      <c r="AN1578" s="871"/>
      <c r="AO1578" s="871"/>
      <c r="AP1578" s="871"/>
      <c r="AQ1578" s="871"/>
      <c r="AR1578" s="871"/>
      <c r="AS1578" s="871"/>
      <c r="AT1578" s="110"/>
      <c r="AU1578" s="871"/>
      <c r="AV1578" s="62">
        <f>+' -'!$B$11</f>
      </c>
      <c r="BF1578" s="601"/>
      <c r="BG1578" s="10"/>
      <c r="BH1578" s="10"/>
    </row>
    <row r="1579" spans="39:60" ht="16.5" customHeight="1" thickBot="1">
      <c r="AM1579" s="218"/>
      <c r="AN1579" s="1129" t="s">
        <v>1612</v>
      </c>
      <c r="AO1579" s="1130" t="s">
        <v>1450</v>
      </c>
      <c r="AP1579" s="1131"/>
      <c r="AQ1579" s="1131"/>
      <c r="AR1579" s="1131"/>
      <c r="AS1579" s="1132"/>
      <c r="AT1579" s="1133" t="s">
        <v>1615</v>
      </c>
      <c r="AU1579" s="871"/>
      <c r="BF1579" s="600" t="str">
        <f>+' -'!$E$22</f>
        <v>"В И Н З А В О Д"  А Д - гр. АСЕНОВГРАД</v>
      </c>
      <c r="BG1579" s="581"/>
      <c r="BH1579" s="581"/>
    </row>
    <row r="1580" spans="39:47" ht="16.5" customHeight="1">
      <c r="AM1580" s="218"/>
      <c r="AN1580" s="1029">
        <v>1</v>
      </c>
      <c r="AO1580" s="795" t="s">
        <v>1451</v>
      </c>
      <c r="AP1580" s="796"/>
      <c r="AQ1580" s="796"/>
      <c r="AR1580" s="796"/>
      <c r="AS1580" s="797"/>
      <c r="AT1580" s="101"/>
      <c r="AU1580" s="871"/>
    </row>
    <row r="1581" spans="39:47" ht="16.5" customHeight="1">
      <c r="AM1581" s="218"/>
      <c r="AN1581" s="1102"/>
      <c r="AO1581" s="799" t="s">
        <v>1452</v>
      </c>
      <c r="AP1581" s="789"/>
      <c r="AQ1581" s="789"/>
      <c r="AR1581" s="789"/>
      <c r="AS1581" s="1134" t="s">
        <v>1453</v>
      </c>
      <c r="AT1581" s="103">
        <f>AT1565/AT1552</f>
        <v>0.6879837067209776</v>
      </c>
      <c r="AU1581" s="871"/>
    </row>
    <row r="1582" spans="39:47" ht="16.5" customHeight="1">
      <c r="AM1582" s="218"/>
      <c r="AN1582" s="1029">
        <v>2</v>
      </c>
      <c r="AO1582" s="795" t="s">
        <v>1284</v>
      </c>
      <c r="AP1582" s="796"/>
      <c r="AQ1582" s="796"/>
      <c r="AR1582" s="796"/>
      <c r="AS1582" s="797"/>
      <c r="AT1582" s="101"/>
      <c r="AU1582" s="871"/>
    </row>
    <row r="1583" spans="39:47" ht="16.5" customHeight="1">
      <c r="AM1583" s="218"/>
      <c r="AN1583" s="1102"/>
      <c r="AO1583" s="799" t="s">
        <v>1285</v>
      </c>
      <c r="AP1583" s="789"/>
      <c r="AQ1583" s="789"/>
      <c r="AR1583" s="789"/>
      <c r="AS1583" s="1134" t="s">
        <v>1286</v>
      </c>
      <c r="AT1583" s="103">
        <f>AT1572/AT1561</f>
        <v>-1.7067137809187278</v>
      </c>
      <c r="AU1583" s="871"/>
    </row>
    <row r="1584" spans="39:47" ht="16.5" customHeight="1">
      <c r="AM1584" s="218"/>
      <c r="AN1584" s="1029">
        <v>3</v>
      </c>
      <c r="AO1584" s="795" t="s">
        <v>1287</v>
      </c>
      <c r="AP1584" s="796"/>
      <c r="AQ1584" s="796"/>
      <c r="AR1584" s="796"/>
      <c r="AS1584" s="797"/>
      <c r="AT1584" s="101"/>
      <c r="AU1584" s="871"/>
    </row>
    <row r="1585" spans="39:47" ht="16.5" customHeight="1">
      <c r="AM1585" s="218"/>
      <c r="AN1585" s="1102"/>
      <c r="AO1585" s="799" t="s">
        <v>740</v>
      </c>
      <c r="AP1585" s="789"/>
      <c r="AQ1585" s="789"/>
      <c r="AR1585" s="789"/>
      <c r="AS1585" s="806"/>
      <c r="AT1585" s="103">
        <f>+AT1552/AT1561</f>
        <v>-8.674911660777385</v>
      </c>
      <c r="AU1585" s="871"/>
    </row>
    <row r="1586" spans="39:47" ht="16.5" customHeight="1">
      <c r="AM1586" s="218"/>
      <c r="AN1586" s="1029">
        <v>4</v>
      </c>
      <c r="AO1586" s="795" t="s">
        <v>741</v>
      </c>
      <c r="AP1586" s="796"/>
      <c r="AQ1586" s="796"/>
      <c r="AR1586" s="796"/>
      <c r="AS1586" s="797"/>
      <c r="AT1586" s="101"/>
      <c r="AU1586" s="871"/>
    </row>
    <row r="1587" spans="39:47" ht="16.5" customHeight="1" thickBot="1">
      <c r="AM1587" s="218"/>
      <c r="AN1587" s="953"/>
      <c r="AO1587" s="813" t="s">
        <v>742</v>
      </c>
      <c r="AP1587" s="814"/>
      <c r="AQ1587" s="814"/>
      <c r="AR1587" s="814"/>
      <c r="AS1587" s="815"/>
      <c r="AT1587" s="382">
        <f>AT1565/AT1572</f>
        <v>3.4968944099378882</v>
      </c>
      <c r="AU1587" s="871"/>
    </row>
    <row r="1588" spans="39:48" ht="8.25" customHeight="1">
      <c r="AM1588" s="218"/>
      <c r="AN1588" s="871"/>
      <c r="AO1588" s="871"/>
      <c r="AP1588" s="871"/>
      <c r="AQ1588" s="871"/>
      <c r="AR1588" s="871"/>
      <c r="AS1588" s="871"/>
      <c r="AT1588" s="110"/>
      <c r="AU1588" s="871"/>
      <c r="AV1588" s="62">
        <f>+' -'!$B$11</f>
      </c>
    </row>
    <row r="1589" spans="39:47" ht="25.5" customHeight="1">
      <c r="AM1589" s="231"/>
      <c r="AN1589" s="1105" t="s">
        <v>316</v>
      </c>
      <c r="AO1589" s="110"/>
      <c r="AP1589" s="110"/>
      <c r="AQ1589" s="110"/>
      <c r="AR1589" s="110"/>
      <c r="AS1589" s="1135">
        <f>$AT$1565/$AT$1552</f>
        <v>0.6879837067209776</v>
      </c>
      <c r="AT1589" s="231" t="s">
        <v>317</v>
      </c>
      <c r="AU1589" s="871"/>
    </row>
    <row r="1590" spans="39:47" ht="25.5" customHeight="1">
      <c r="AM1590" s="231" t="s">
        <v>318</v>
      </c>
      <c r="AN1590" s="1105"/>
      <c r="AO1590" s="110"/>
      <c r="AP1590" s="110"/>
      <c r="AQ1590" s="110"/>
      <c r="AR1590" s="110"/>
      <c r="AS1590" s="110"/>
      <c r="AT1590" s="110"/>
      <c r="AU1590" s="871"/>
    </row>
    <row r="1591" spans="39:47" ht="25.5" customHeight="1">
      <c r="AM1591" s="231" t="s">
        <v>319</v>
      </c>
      <c r="AN1591" s="1105"/>
      <c r="AO1591" s="231" t="str">
        <f>IF($AT$1565&gt;$AT$1552,"и  от  краткосрочни  източници."," само  от  дългосрочни  източници.")</f>
        <v> само  от  дългосрочни  източници.</v>
      </c>
      <c r="AP1591" s="215"/>
      <c r="AQ1591" s="871"/>
      <c r="AR1591" s="110"/>
      <c r="AS1591" s="110"/>
      <c r="AT1591" s="110"/>
      <c r="AU1591" s="871"/>
    </row>
    <row r="1592" spans="39:47" ht="25.5" customHeight="1">
      <c r="AM1592" s="231"/>
      <c r="AN1592" s="1105" t="str">
        <f>IF($AT$1565&gt;$AT$1552," Този подход на работа води до влошаване на показателите за ликвидност.","  В тази ситуация фирмата ще бъде притеснена при бърз темп на инфлация.")</f>
        <v>  В тази ситуация фирмата ще бъде притеснена при бърз темп на инфлация.</v>
      </c>
      <c r="AO1592" s="110"/>
      <c r="AP1592" s="110"/>
      <c r="AQ1592" s="110"/>
      <c r="AR1592" s="110"/>
      <c r="AS1592" s="110"/>
      <c r="AT1592" s="110"/>
      <c r="AU1592" s="871"/>
    </row>
    <row r="1593" spans="39:47" ht="25.5" customHeight="1">
      <c r="AM1593" s="231"/>
      <c r="AN1593" s="1105" t="s">
        <v>320</v>
      </c>
      <c r="AO1593" s="110"/>
      <c r="AP1593" s="110"/>
      <c r="AQ1593" s="110"/>
      <c r="AR1593" s="110"/>
      <c r="AS1593" s="1135">
        <f>$AT$1572/$AT$1561</f>
        <v>-1.7067137809187278</v>
      </c>
      <c r="AT1593" s="231" t="s">
        <v>321</v>
      </c>
      <c r="AU1593" s="871"/>
    </row>
    <row r="1594" spans="39:47" ht="25.5" customHeight="1">
      <c r="AM1594" s="231" t="s">
        <v>322</v>
      </c>
      <c r="AN1594" s="1105"/>
      <c r="AO1594" s="110"/>
      <c r="AP1594" s="110"/>
      <c r="AQ1594" s="110"/>
      <c r="AR1594" s="110"/>
      <c r="AS1594" s="110"/>
      <c r="AT1594" s="110"/>
      <c r="AU1594" s="871"/>
    </row>
    <row r="1595" spans="39:47" ht="25.5" customHeight="1">
      <c r="AM1595" s="231" t="s">
        <v>1717</v>
      </c>
      <c r="AN1595" s="1105"/>
      <c r="AO1595" s="110"/>
      <c r="AP1595" s="231" t="str">
        <f>IF($AT$1572&gt;$AT$1561,"и  от  дългосрочни  източници."," само  от  краткосрочни  източници.")</f>
        <v>и  от  дългосрочни  източници.</v>
      </c>
      <c r="AQ1595" s="871"/>
      <c r="AR1595" s="110"/>
      <c r="AS1595" s="110"/>
      <c r="AT1595" s="110"/>
      <c r="AU1595" s="871"/>
    </row>
    <row r="1596" spans="39:47" ht="25.5" customHeight="1">
      <c r="AM1596" s="231"/>
      <c r="AN1596" s="1105" t="s">
        <v>2441</v>
      </c>
      <c r="AO1596" s="110"/>
      <c r="AP1596" s="110"/>
      <c r="AQ1596" s="110"/>
      <c r="AR1596" s="110"/>
      <c r="AS1596" s="110"/>
      <c r="AT1596" s="110"/>
      <c r="AU1596" s="871"/>
    </row>
    <row r="1597" spans="39:47" ht="25.5" customHeight="1">
      <c r="AM1597" s="1105" t="s">
        <v>2442</v>
      </c>
      <c r="AN1597" s="1105"/>
      <c r="AO1597" s="110"/>
      <c r="AP1597" s="110"/>
      <c r="AQ1597" s="110"/>
      <c r="AR1597" s="110"/>
      <c r="AS1597" s="110"/>
      <c r="AT1597" s="110"/>
      <c r="AU1597" s="871"/>
    </row>
    <row r="1598" spans="39:47" ht="25.5" customHeight="1">
      <c r="AM1598" s="231" t="s">
        <v>797</v>
      </c>
      <c r="AN1598" s="1105"/>
      <c r="AO1598" s="110"/>
      <c r="AP1598" s="110"/>
      <c r="AQ1598" s="110"/>
      <c r="AR1598" s="110"/>
      <c r="AS1598" s="110"/>
      <c r="AT1598" s="110"/>
      <c r="AU1598" s="871"/>
    </row>
    <row r="1599" spans="39:47" ht="25.5" customHeight="1">
      <c r="AM1599" s="231" t="s">
        <v>2135</v>
      </c>
      <c r="AN1599" s="1105"/>
      <c r="AO1599" s="110"/>
      <c r="AP1599" s="110"/>
      <c r="AQ1599" s="110"/>
      <c r="AR1599" s="110"/>
      <c r="AS1599" s="110"/>
      <c r="AT1599" s="110"/>
      <c r="AU1599" s="871"/>
    </row>
    <row r="1600" spans="39:47" ht="25.5" customHeight="1">
      <c r="AM1600" s="231"/>
      <c r="AN1600" s="871" t="s">
        <v>839</v>
      </c>
      <c r="AO1600" s="110"/>
      <c r="AP1600" s="110"/>
      <c r="AQ1600" s="110"/>
      <c r="AR1600" s="110"/>
      <c r="AS1600" s="110"/>
      <c r="AT1600" s="110"/>
      <c r="AU1600" s="871"/>
    </row>
    <row r="1601" spans="39:47" ht="25.5" customHeight="1">
      <c r="AM1601" s="1136" t="s">
        <v>388</v>
      </c>
      <c r="AN1601" s="1105"/>
      <c r="AO1601" s="110"/>
      <c r="AP1601" s="110"/>
      <c r="AQ1601" s="110"/>
      <c r="AR1601" s="110"/>
      <c r="AS1601" s="110"/>
      <c r="AT1601" s="110"/>
      <c r="AU1601" s="871"/>
    </row>
    <row r="1602" spans="39:47" ht="25.5" customHeight="1">
      <c r="AM1602" s="1104"/>
      <c r="AN1602" s="110" t="s">
        <v>389</v>
      </c>
      <c r="AO1602" s="110"/>
      <c r="AP1602" s="110"/>
      <c r="AQ1602" s="110"/>
      <c r="AR1602" s="110"/>
      <c r="AS1602" s="871"/>
      <c r="AT1602" s="871"/>
      <c r="AU1602" s="110">
        <f>AU1620+AU1629+AU1637</f>
        <v>12485</v>
      </c>
    </row>
    <row r="1603" spans="39:47" ht="25.5" customHeight="1">
      <c r="AM1603" s="110" t="s">
        <v>390</v>
      </c>
      <c r="AN1603" s="110"/>
      <c r="AO1603" s="110"/>
      <c r="AP1603" s="110"/>
      <c r="AQ1603" s="110"/>
      <c r="AR1603" s="110"/>
      <c r="AS1603" s="871"/>
      <c r="AT1603" s="871"/>
      <c r="AU1603" s="871"/>
    </row>
    <row r="1604" spans="39:47" ht="25.5" customHeight="1">
      <c r="AM1604" s="1104"/>
      <c r="AN1604" s="1105">
        <f>AU1620/AU1602</f>
        <v>0.5731678013616339</v>
      </c>
      <c r="AO1604" s="110" t="s">
        <v>1446</v>
      </c>
      <c r="AP1604" s="110"/>
      <c r="AQ1604" s="110"/>
      <c r="AR1604" s="110"/>
      <c r="AS1604" s="110"/>
      <c r="AT1604" s="110"/>
      <c r="AU1604" s="871"/>
    </row>
    <row r="1605" spans="39:47" ht="25.5" customHeight="1">
      <c r="AM1605" s="1104"/>
      <c r="AN1605" s="1105">
        <f>AU1629/AU1602</f>
        <v>0</v>
      </c>
      <c r="AO1605" s="110" t="s">
        <v>391</v>
      </c>
      <c r="AP1605" s="110"/>
      <c r="AQ1605" s="110"/>
      <c r="AR1605" s="110"/>
      <c r="AS1605" s="110"/>
      <c r="AT1605" s="110"/>
      <c r="AU1605" s="871"/>
    </row>
    <row r="1606" spans="39:47" ht="25.5" customHeight="1">
      <c r="AM1606" s="1104"/>
      <c r="AN1606" s="1105">
        <f>AU1637/AU1602</f>
        <v>0.426832198638366</v>
      </c>
      <c r="AO1606" s="110" t="s">
        <v>392</v>
      </c>
      <c r="AP1606" s="110"/>
      <c r="AQ1606" s="110"/>
      <c r="AR1606" s="110"/>
      <c r="AS1606" s="110"/>
      <c r="AT1606" s="110"/>
      <c r="AU1606" s="871"/>
    </row>
    <row r="1607" spans="39:47" ht="25.5" customHeight="1">
      <c r="AM1607" s="1104"/>
      <c r="AN1607" s="110" t="s">
        <v>393</v>
      </c>
      <c r="AO1607" s="110"/>
      <c r="AP1607" s="110"/>
      <c r="AQ1607" s="110"/>
      <c r="AR1607" s="110"/>
      <c r="AS1607" s="223">
        <f>AU1621+AU1630+AU1638</f>
        <v>12599</v>
      </c>
      <c r="AT1607" s="110" t="s">
        <v>394</v>
      </c>
      <c r="AU1607" s="110"/>
    </row>
    <row r="1608" spans="39:47" ht="25.5" customHeight="1">
      <c r="AM1608" s="871"/>
      <c r="AN1608" s="1137">
        <f>AU1621/AS1607</f>
        <v>0.5959203111358045</v>
      </c>
      <c r="AO1608" s="110" t="s">
        <v>1447</v>
      </c>
      <c r="AP1608" s="110"/>
      <c r="AQ1608" s="110"/>
      <c r="AR1608" s="110"/>
      <c r="AS1608" s="871"/>
      <c r="AT1608" s="871"/>
      <c r="AU1608" s="871"/>
    </row>
    <row r="1609" spans="39:47" ht="25.5" customHeight="1">
      <c r="AM1609" s="1104"/>
      <c r="AN1609" s="1105">
        <f>AU1630/AS1607</f>
        <v>0.01952535915548853</v>
      </c>
      <c r="AO1609" s="110" t="s">
        <v>395</v>
      </c>
      <c r="AP1609" s="110"/>
      <c r="AQ1609" s="110"/>
      <c r="AR1609" s="110"/>
      <c r="AS1609" s="110"/>
      <c r="AT1609" s="110"/>
      <c r="AU1609" s="871"/>
    </row>
    <row r="1610" spans="39:47" ht="25.5" customHeight="1">
      <c r="AM1610" s="1104"/>
      <c r="AN1610" s="1105">
        <f>AU1638/AS1607</f>
        <v>0.38455432970870707</v>
      </c>
      <c r="AO1610" s="110" t="s">
        <v>1276</v>
      </c>
      <c r="AP1610" s="110"/>
      <c r="AQ1610" s="110"/>
      <c r="AR1610" s="110"/>
      <c r="AS1610" s="110"/>
      <c r="AT1610" s="110"/>
      <c r="AU1610" s="871"/>
    </row>
    <row r="1611" spans="39:47" ht="25.5" customHeight="1">
      <c r="AM1611" s="231"/>
      <c r="AN1611" s="1105"/>
      <c r="AO1611" s="110"/>
      <c r="AP1611" s="110"/>
      <c r="AQ1611" s="110"/>
      <c r="AR1611" s="110"/>
      <c r="AS1611" s="110"/>
      <c r="AT1611" s="608"/>
      <c r="AU1611" s="1138" t="s">
        <v>785</v>
      </c>
    </row>
    <row r="1612" spans="39:51" ht="25.5" customHeight="1">
      <c r="AM1612" s="231"/>
      <c r="AN1612" s="1104" t="s">
        <v>1718</v>
      </c>
      <c r="AO1612" s="110" t="s">
        <v>1720</v>
      </c>
      <c r="AP1612" s="639"/>
      <c r="AQ1612" s="110" t="str">
        <f>IF(AT1612&gt;=0,"печалба","загуба")</f>
        <v>печалба</v>
      </c>
      <c r="AR1612" s="110"/>
      <c r="AS1612" s="110"/>
      <c r="AT1612" s="1512">
        <f>IF(' -'!$B$11="",Анализ!$K$222-$K$257,Анализ!$AS$1003)</f>
        <v>103</v>
      </c>
      <c r="AU1612" s="1512"/>
      <c r="AY1612" s="277" t="b">
        <f>IF(AND($AT$1612&gt;0,$AT$1613&lt;=0),"    Няма голям смисъл в това фирмата да има печалба, а да няма парични средства.",+AY1614)</f>
        <v>0</v>
      </c>
    </row>
    <row r="1613" spans="39:51" ht="25.5" customHeight="1">
      <c r="AM1613" s="231"/>
      <c r="AN1613" s="1104" t="s">
        <v>1719</v>
      </c>
      <c r="AO1613" s="110" t="s">
        <v>1636</v>
      </c>
      <c r="AP1613" s="110"/>
      <c r="AQ1613" s="110"/>
      <c r="AR1613" s="110"/>
      <c r="AS1613" s="110"/>
      <c r="AT1613" s="1512">
        <f>$R$332</f>
        <v>125</v>
      </c>
      <c r="AU1613" s="1512"/>
      <c r="AX1613" s="277" t="b">
        <f>IF(AND($AT$1612&gt;0,$AT$1613&lt;=0),"Оцеляването й  в дългосрочен план вероятно ще бъде трудно.",+AX1615)</f>
        <v>0</v>
      </c>
      <c r="AY1613" s="130"/>
    </row>
    <row r="1614" spans="39:51" ht="25.5" customHeight="1">
      <c r="AM1614" s="1104"/>
      <c r="AN1614" s="1139" t="s">
        <v>1607</v>
      </c>
      <c r="AO1614" s="110"/>
      <c r="AP1614" s="110"/>
      <c r="AQ1614" s="110"/>
      <c r="AR1614" s="110"/>
      <c r="AS1614" s="110"/>
      <c r="AT1614" s="110"/>
      <c r="AU1614" s="871"/>
      <c r="AY1614" s="277" t="b">
        <f>IF(AND($AT$1612&lt;=0,$AT$1613&gt;0),"    Няма никакво предимство (освен краткосрочно оцеляване) в това фирмата да има",+AY1615)</f>
        <v>0</v>
      </c>
    </row>
    <row r="1615" spans="39:51" ht="25.5" customHeight="1">
      <c r="AM1615" s="608"/>
      <c r="AN1615" s="1140" t="str">
        <f>IF(AND($AT$1612&gt;0,$AT$1613&gt;0),"    Наличието  на  положителен  финансов  резултат  и  на  парични  наличности  през",+AY1612)</f>
        <v>    Наличието  на  положителен  финансов  резултат  и  на  парични  наличности  през</v>
      </c>
      <c r="AO1615" s="1141"/>
      <c r="AP1615" s="1141"/>
      <c r="AQ1615" s="1141"/>
      <c r="AR1615" s="110"/>
      <c r="AS1615" s="110"/>
      <c r="AT1615" s="110"/>
      <c r="AU1615" s="871"/>
      <c r="AX1615" s="277" t="b">
        <f>IF(AND($AT$1612&lt;=0,$AT$1613&gt;0),"парични средства, а да няма печалба. Оцеляването й в дългосрочен план ще бъде трудно.",+AX1616)</f>
        <v>0</v>
      </c>
      <c r="AY1615" s="277" t="b">
        <f>IF(AND($AT$1612&lt;=0,$AT$1613&lt;=0),"    Нито една фирма не може да оцелее, в дългосрочен план, едновременно без пари",FALSE)</f>
        <v>0</v>
      </c>
    </row>
    <row r="1616" spans="39:51" ht="25.5" customHeight="1">
      <c r="AM1616" s="1140" t="str">
        <f>IF(AND($AT$1612&gt;0,$AT$1613&gt;0),"анализирания период е добър индикатор за дейността  и  състоянието на фирмата.",+AX1613)</f>
        <v>анализирания период е добър индикатор за дейността  и  състоянието на фирмата.</v>
      </c>
      <c r="AN1616" s="1141"/>
      <c r="AO1616" s="1141"/>
      <c r="AP1616" s="1141"/>
      <c r="AQ1616" s="1141"/>
      <c r="AR1616" s="110"/>
      <c r="AS1616" s="110"/>
      <c r="AT1616" s="110"/>
      <c r="AU1616" s="871"/>
      <c r="AX1616" s="277" t="b">
        <f>IF(AND($AT$1612&lt;=0,$AT$1613&lt;=0),"и без печалба.",FALSE)</f>
        <v>0</v>
      </c>
      <c r="AY1616" s="236"/>
    </row>
    <row r="1617" spans="39:48" ht="9" customHeight="1">
      <c r="AM1617" s="231"/>
      <c r="AN1617" s="1105"/>
      <c r="AO1617" s="110"/>
      <c r="AP1617" s="110"/>
      <c r="AQ1617" s="110"/>
      <c r="AR1617" s="110"/>
      <c r="AS1617" s="110"/>
      <c r="AT1617" s="110"/>
      <c r="AU1617" s="871"/>
      <c r="AV1617" s="62">
        <f>+' -'!$B$11</f>
      </c>
    </row>
    <row r="1618" spans="39:47" ht="21.75" customHeight="1">
      <c r="AM1618" s="1142" t="s">
        <v>1612</v>
      </c>
      <c r="AN1618" s="1143" t="s">
        <v>1328</v>
      </c>
      <c r="AO1618" s="1144"/>
      <c r="AP1618" s="1144"/>
      <c r="AQ1618" s="1144"/>
      <c r="AR1618" s="1144"/>
      <c r="AS1618" s="1144"/>
      <c r="AT1618" s="1145"/>
      <c r="AU1618" s="1142" t="s">
        <v>1277</v>
      </c>
    </row>
    <row r="1619" spans="39:47" ht="21.75" customHeight="1">
      <c r="AM1619" s="1146">
        <v>1</v>
      </c>
      <c r="AN1619" s="799" t="s">
        <v>1630</v>
      </c>
      <c r="AO1619" s="789"/>
      <c r="AP1619" s="789"/>
      <c r="AQ1619" s="1147"/>
      <c r="AR1619" s="789"/>
      <c r="AS1619" s="789"/>
      <c r="AT1619" s="806"/>
      <c r="AU1619" s="209">
        <f>R331</f>
        <v>239</v>
      </c>
    </row>
    <row r="1620" spans="39:47" ht="21.75" customHeight="1">
      <c r="AM1620" s="1148">
        <v>2</v>
      </c>
      <c r="AN1620" s="796" t="s">
        <v>897</v>
      </c>
      <c r="AO1620" s="796"/>
      <c r="AP1620" s="796"/>
      <c r="AQ1620" s="1149"/>
      <c r="AR1620" s="796"/>
      <c r="AS1620" s="796"/>
      <c r="AT1620" s="797"/>
      <c r="AU1620" s="100">
        <f>P294</f>
        <v>7156</v>
      </c>
    </row>
    <row r="1621" spans="39:47" ht="21.75" customHeight="1">
      <c r="AM1621" s="1150">
        <v>3</v>
      </c>
      <c r="AN1621" s="110" t="s">
        <v>1576</v>
      </c>
      <c r="AO1621" s="110"/>
      <c r="AP1621" s="110"/>
      <c r="AQ1621" s="1151"/>
      <c r="AR1621" s="110"/>
      <c r="AS1621" s="110"/>
      <c r="AT1621" s="932"/>
      <c r="AU1621" s="374">
        <f>Q294</f>
        <v>7508</v>
      </c>
    </row>
    <row r="1622" spans="39:48" ht="21.75" customHeight="1">
      <c r="AM1622" s="1150">
        <v>4</v>
      </c>
      <c r="AN1622" s="110" t="str">
        <f>IF($R$294&gt;=0,"  П о л о ж и т е л е н","  О т р и ц а т е л е н")</f>
        <v>  О т р и ц а т е л е н</v>
      </c>
      <c r="AO1622" s="110"/>
      <c r="AP1622" s="1152" t="s">
        <v>594</v>
      </c>
      <c r="AQ1622" s="110"/>
      <c r="AR1622" s="110"/>
      <c r="AS1622" s="110"/>
      <c r="AT1622" s="932"/>
      <c r="AU1622" s="374">
        <f>ABS(R294)</f>
        <v>352</v>
      </c>
      <c r="AV1622" s="64"/>
    </row>
    <row r="1623" spans="39:47" ht="21.75" customHeight="1">
      <c r="AM1623" s="1150"/>
      <c r="AN1623" s="1153" t="s">
        <v>1607</v>
      </c>
      <c r="AO1623" s="110" t="str">
        <f>IF($AU$1620&gt;$AU$1621," Фирмата  е  реализирала  възможността  да  генерира  пари  от"," Фирмата  не  е  реализирала възможността да генерира пари от")</f>
        <v> Фирмата  не  е  реализирала възможността да генерира пари от</v>
      </c>
      <c r="AP1623" s="110"/>
      <c r="AQ1623" s="110"/>
      <c r="AR1623" s="110"/>
      <c r="AS1623" s="110"/>
      <c r="AT1623" s="932"/>
      <c r="AU1623" s="374"/>
    </row>
    <row r="1624" spans="39:47" ht="21.75" customHeight="1">
      <c r="AM1624" s="1150"/>
      <c r="AN1624" s="110" t="s">
        <v>593</v>
      </c>
      <c r="AO1624" s="110"/>
      <c r="AP1624" s="110"/>
      <c r="AQ1624" s="110"/>
      <c r="AR1624" s="110"/>
      <c r="AS1624" s="110"/>
      <c r="AT1624" s="932"/>
      <c r="AU1624" s="374"/>
    </row>
    <row r="1625" spans="39:47" ht="21.75" customHeight="1">
      <c r="AM1625" s="1150"/>
      <c r="AN1625" s="110" t="s">
        <v>1201</v>
      </c>
      <c r="AO1625" s="110"/>
      <c r="AP1625" s="110"/>
      <c r="AQ1625" s="110"/>
      <c r="AR1625" s="110"/>
      <c r="AS1625" s="110"/>
      <c r="AT1625" s="932"/>
      <c r="AU1625" s="374"/>
    </row>
    <row r="1626" spans="39:47" ht="21.75" customHeight="1">
      <c r="AM1626" s="1150"/>
      <c r="AN1626" s="110" t="s">
        <v>1202</v>
      </c>
      <c r="AO1626" s="110"/>
      <c r="AP1626" s="110"/>
      <c r="AQ1626" s="110"/>
      <c r="AR1626" s="110"/>
      <c r="AS1626" s="110"/>
      <c r="AT1626" s="932"/>
      <c r="AU1626" s="374"/>
    </row>
    <row r="1627" spans="39:47" ht="21.75" customHeight="1">
      <c r="AM1627" s="1150"/>
      <c r="AN1627" s="110" t="s">
        <v>1203</v>
      </c>
      <c r="AO1627" s="110"/>
      <c r="AP1627" s="110"/>
      <c r="AQ1627" s="110"/>
      <c r="AR1627" s="110"/>
      <c r="AS1627" s="110"/>
      <c r="AT1627" s="932"/>
      <c r="AU1627" s="374"/>
    </row>
    <row r="1628" spans="39:47" ht="21.75" customHeight="1">
      <c r="AM1628" s="1146"/>
      <c r="AN1628" s="789" t="s">
        <v>1129</v>
      </c>
      <c r="AO1628" s="789"/>
      <c r="AP1628" s="789"/>
      <c r="AQ1628" s="789"/>
      <c r="AR1628" s="789"/>
      <c r="AS1628" s="789"/>
      <c r="AT1628" s="806"/>
      <c r="AU1628" s="209"/>
    </row>
    <row r="1629" spans="39:47" ht="21.75" customHeight="1">
      <c r="AM1629" s="1148">
        <v>5</v>
      </c>
      <c r="AN1629" s="795" t="s">
        <v>1130</v>
      </c>
      <c r="AO1629" s="796"/>
      <c r="AP1629" s="796"/>
      <c r="AQ1629" s="796"/>
      <c r="AR1629" s="796"/>
      <c r="AS1629" s="796"/>
      <c r="AT1629" s="797"/>
      <c r="AU1629" s="100">
        <f>P308</f>
        <v>0</v>
      </c>
    </row>
    <row r="1630" spans="39:47" ht="21.75" customHeight="1">
      <c r="AM1630" s="1150">
        <v>6</v>
      </c>
      <c r="AN1630" s="210" t="s">
        <v>1131</v>
      </c>
      <c r="AO1630" s="110"/>
      <c r="AP1630" s="110"/>
      <c r="AQ1630" s="110"/>
      <c r="AR1630" s="110"/>
      <c r="AS1630" s="110"/>
      <c r="AT1630" s="932"/>
      <c r="AU1630" s="374">
        <f>Q308</f>
        <v>246</v>
      </c>
    </row>
    <row r="1631" spans="39:47" ht="21.75" customHeight="1">
      <c r="AM1631" s="1150">
        <v>7</v>
      </c>
      <c r="AN1631" s="210" t="str">
        <f>IF(R308&gt;=0,"  П о л о ж и т е л е н","  О т р и ц а т е л е н")</f>
        <v>  О т р и ц а т е л е н</v>
      </c>
      <c r="AO1631" s="110"/>
      <c r="AP1631" s="1152" t="s">
        <v>2323</v>
      </c>
      <c r="AQ1631" s="110"/>
      <c r="AR1631" s="110"/>
      <c r="AS1631" s="110"/>
      <c r="AT1631" s="932"/>
      <c r="AU1631" s="374">
        <f>ABS(R308)</f>
        <v>246</v>
      </c>
    </row>
    <row r="1632" spans="39:47" ht="21.75" customHeight="1">
      <c r="AM1632" s="1150"/>
      <c r="AN1632" s="210" t="s">
        <v>1132</v>
      </c>
      <c r="AO1632" s="110"/>
      <c r="AP1632" s="110"/>
      <c r="AQ1632" s="110"/>
      <c r="AR1632" s="110"/>
      <c r="AS1632" s="110"/>
      <c r="AT1632" s="932"/>
      <c r="AU1632" s="374"/>
    </row>
    <row r="1633" spans="39:47" ht="21.75" customHeight="1">
      <c r="AM1633" s="1150"/>
      <c r="AN1633" s="210" t="s">
        <v>1133</v>
      </c>
      <c r="AO1633" s="110"/>
      <c r="AP1633" s="110"/>
      <c r="AQ1633" s="110"/>
      <c r="AR1633" s="110"/>
      <c r="AS1633" s="110"/>
      <c r="AT1633" s="932"/>
      <c r="AU1633" s="374"/>
    </row>
    <row r="1634" spans="39:47" ht="21.75" customHeight="1">
      <c r="AM1634" s="1150"/>
      <c r="AN1634" s="210" t="s">
        <v>1173</v>
      </c>
      <c r="AO1634" s="110"/>
      <c r="AP1634" s="110"/>
      <c r="AQ1634" s="110"/>
      <c r="AR1634" s="110"/>
      <c r="AS1634" s="110"/>
      <c r="AT1634" s="932"/>
      <c r="AU1634" s="374"/>
    </row>
    <row r="1635" spans="39:47" ht="21.75" customHeight="1">
      <c r="AM1635" s="1150"/>
      <c r="AN1635" s="210" t="s">
        <v>330</v>
      </c>
      <c r="AO1635" s="110"/>
      <c r="AP1635" s="110"/>
      <c r="AQ1635" s="110"/>
      <c r="AR1635" s="110"/>
      <c r="AS1635" s="110"/>
      <c r="AT1635" s="932"/>
      <c r="AU1635" s="374"/>
    </row>
    <row r="1636" spans="39:47" ht="21.75" customHeight="1">
      <c r="AM1636" s="1150"/>
      <c r="AN1636" s="210" t="s">
        <v>1180</v>
      </c>
      <c r="AO1636" s="110"/>
      <c r="AP1636" s="110"/>
      <c r="AQ1636" s="110"/>
      <c r="AR1636" s="110"/>
      <c r="AS1636" s="110"/>
      <c r="AT1636" s="932"/>
      <c r="AU1636" s="374"/>
    </row>
    <row r="1637" spans="39:47" ht="21.75" customHeight="1">
      <c r="AM1637" s="1148">
        <v>8</v>
      </c>
      <c r="AN1637" s="795" t="s">
        <v>1181</v>
      </c>
      <c r="AO1637" s="796"/>
      <c r="AP1637" s="796"/>
      <c r="AQ1637" s="796"/>
      <c r="AR1637" s="796"/>
      <c r="AS1637" s="796"/>
      <c r="AT1637" s="797"/>
      <c r="AU1637" s="100">
        <f>P328</f>
        <v>5329</v>
      </c>
    </row>
    <row r="1638" spans="39:47" ht="21.75" customHeight="1">
      <c r="AM1638" s="1150">
        <v>9</v>
      </c>
      <c r="AN1638" s="210" t="s">
        <v>1182</v>
      </c>
      <c r="AO1638" s="110"/>
      <c r="AP1638" s="110"/>
      <c r="AQ1638" s="110"/>
      <c r="AR1638" s="110"/>
      <c r="AS1638" s="110"/>
      <c r="AT1638" s="932"/>
      <c r="AU1638" s="374">
        <f>Q328</f>
        <v>4845</v>
      </c>
    </row>
    <row r="1639" spans="39:47" ht="21.75" customHeight="1">
      <c r="AM1639" s="1150">
        <v>10</v>
      </c>
      <c r="AN1639" s="210" t="str">
        <f>IF(R328&gt;=0,"  П о л о ж и т е л е н","  О т р и ц а т е л е н")</f>
        <v>  П о л о ж и т е л е н</v>
      </c>
      <c r="AO1639" s="110"/>
      <c r="AP1639" s="1152" t="s">
        <v>681</v>
      </c>
      <c r="AQ1639" s="110"/>
      <c r="AR1639" s="110"/>
      <c r="AS1639" s="110"/>
      <c r="AT1639" s="932"/>
      <c r="AU1639" s="374">
        <f>ABS(R328)</f>
        <v>484</v>
      </c>
    </row>
    <row r="1640" spans="39:47" ht="21.75" customHeight="1">
      <c r="AM1640" s="1150"/>
      <c r="AN1640" s="1059" t="s">
        <v>666</v>
      </c>
      <c r="AO1640" s="110"/>
      <c r="AP1640" s="110"/>
      <c r="AQ1640" s="110"/>
      <c r="AR1640" s="110"/>
      <c r="AS1640" s="110"/>
      <c r="AT1640" s="932"/>
      <c r="AU1640" s="374"/>
    </row>
    <row r="1641" spans="39:47" ht="21.75" customHeight="1">
      <c r="AM1641" s="1146"/>
      <c r="AN1641" s="1154" t="s">
        <v>665</v>
      </c>
      <c r="AO1641" s="789"/>
      <c r="AP1641" s="789"/>
      <c r="AQ1641" s="789"/>
      <c r="AR1641" s="789"/>
      <c r="AS1641" s="789"/>
      <c r="AT1641" s="806"/>
      <c r="AU1641" s="209"/>
    </row>
    <row r="1642" spans="39:48" ht="21.75" customHeight="1">
      <c r="AM1642" s="1146">
        <v>11</v>
      </c>
      <c r="AN1642" s="799" t="s">
        <v>2414</v>
      </c>
      <c r="AO1642" s="789"/>
      <c r="AP1642" s="789"/>
      <c r="AQ1642" s="789"/>
      <c r="AR1642" s="1155">
        <f>A4</f>
        <v>39813</v>
      </c>
      <c r="AS1642" s="865"/>
      <c r="AT1642" s="806"/>
      <c r="AU1642" s="209">
        <f>R332</f>
        <v>125</v>
      </c>
      <c r="AV1642" s="63"/>
    </row>
    <row r="1643" spans="39:48" ht="21.75" customHeight="1">
      <c r="AM1643" s="1156">
        <v>12</v>
      </c>
      <c r="AN1643" s="791" t="str">
        <f>IF(AU1642-AU1619&gt;=0,"  У в е л и ч е н и е","  Н  а  м  а  л  е н и е")</f>
        <v>  Н  а  м  а  л  е н и е</v>
      </c>
      <c r="AO1643" s="792"/>
      <c r="AP1643" s="792" t="s">
        <v>2434</v>
      </c>
      <c r="AQ1643" s="792"/>
      <c r="AR1643" s="792"/>
      <c r="AS1643" s="792"/>
      <c r="AT1643" s="793"/>
      <c r="AU1643" s="97">
        <f>ABS(AU1642-AU1619)</f>
        <v>114</v>
      </c>
      <c r="AV1643" s="63"/>
    </row>
    <row r="1644" spans="39:48" ht="18" customHeight="1">
      <c r="AM1644" s="608"/>
      <c r="AN1644" s="608"/>
      <c r="AO1644" s="608"/>
      <c r="AP1644" s="608"/>
      <c r="AQ1644" s="608"/>
      <c r="AR1644" s="608"/>
      <c r="AS1644" s="608"/>
      <c r="AT1644" s="608"/>
      <c r="AU1644" s="608"/>
      <c r="AV1644" s="63"/>
    </row>
    <row r="1645" spans="39:48" ht="15.75" customHeight="1">
      <c r="AM1645" s="229"/>
      <c r="AN1645" s="229"/>
      <c r="AO1645" s="229"/>
      <c r="AP1645" s="229"/>
      <c r="AQ1645" s="229"/>
      <c r="AR1645" s="229"/>
      <c r="AS1645" s="229"/>
      <c r="AT1645" s="229"/>
      <c r="AU1645" s="229"/>
      <c r="AV1645" s="62">
        <f>+' -'!$C$12</f>
      </c>
    </row>
    <row r="1646" spans="39:47" ht="21.75" customHeight="1">
      <c r="AM1646" s="229"/>
      <c r="AN1646" s="229"/>
      <c r="AO1646" s="229"/>
      <c r="AP1646" s="229"/>
      <c r="AQ1646" s="229"/>
      <c r="AR1646" s="768"/>
      <c r="AS1646" s="768"/>
      <c r="AT1646" s="229"/>
      <c r="AU1646" s="229"/>
    </row>
    <row r="1647" spans="39:47" ht="21.75" customHeight="1">
      <c r="AM1647" s="229"/>
      <c r="AN1647" s="1394"/>
      <c r="AO1647" s="767"/>
      <c r="AP1647" s="229"/>
      <c r="AQ1647" s="229"/>
      <c r="AR1647" s="229"/>
      <c r="AS1647" s="229"/>
      <c r="AT1647" s="229"/>
      <c r="AU1647" s="229"/>
    </row>
    <row r="1648" spans="39:47" ht="21.75" customHeight="1">
      <c r="AM1648" s="229"/>
      <c r="AN1648" s="229"/>
      <c r="AO1648" s="229"/>
      <c r="AP1648" s="229"/>
      <c r="AQ1648" s="229"/>
      <c r="AR1648" s="768"/>
      <c r="AS1648" s="229"/>
      <c r="AT1648" s="229"/>
      <c r="AU1648" s="229"/>
    </row>
    <row r="1650" spans="39:47" ht="18" customHeight="1">
      <c r="AM1650" s="600" t="str">
        <f>+' -'!$E$21</f>
        <v>Програмата за финансов анализ е лицензирана на:</v>
      </c>
      <c r="AN1650" s="22"/>
      <c r="AO1650" s="1"/>
      <c r="AP1650" s="1"/>
      <c r="AQ1650" s="1"/>
      <c r="AR1650" s="1"/>
      <c r="AS1650" s="1"/>
      <c r="AT1650" s="1"/>
      <c r="AU1650" s="1"/>
    </row>
    <row r="1651" spans="39:41" ht="18" customHeight="1">
      <c r="AM1651" s="601"/>
      <c r="AN1651" s="10"/>
      <c r="AO1651" s="10"/>
    </row>
    <row r="1652" spans="39:47" ht="18" customHeight="1">
      <c r="AM1652" s="600" t="str">
        <f>+' -'!$E$22</f>
        <v>"В И Н З А В О Д"  А Д - гр. АСЕНОВГРАД</v>
      </c>
      <c r="AN1652" s="264"/>
      <c r="AO1652" s="264"/>
      <c r="AP1652" s="264"/>
      <c r="AQ1652" s="264"/>
      <c r="AR1652" s="264"/>
      <c r="AS1652" s="264"/>
      <c r="AT1652" s="264"/>
      <c r="AU1652" s="264"/>
    </row>
    <row r="1654" spans="39:164" ht="18" customHeight="1">
      <c r="AM1654" s="1097" t="s">
        <v>1473</v>
      </c>
      <c r="AN1654" s="818"/>
      <c r="AO1654" s="818"/>
      <c r="AP1654" s="818"/>
      <c r="AQ1654" s="818"/>
      <c r="AR1654" s="818"/>
      <c r="AS1654" s="760"/>
      <c r="AT1654" s="760"/>
      <c r="FA1654" s="1097" t="s">
        <v>1473</v>
      </c>
      <c r="FB1654" s="818"/>
      <c r="FC1654" s="818"/>
      <c r="FD1654" s="818"/>
      <c r="FE1654" s="818"/>
      <c r="FF1654" s="818"/>
      <c r="FG1654" s="760"/>
      <c r="FH1654" s="760"/>
    </row>
    <row r="1655" spans="39:164" ht="18" customHeight="1">
      <c r="AM1655" s="1097" t="str">
        <f>$AM$513</f>
        <v>"В И Н З А В О Д"  А Д - гр. АСЕНОВГРАД</v>
      </c>
      <c r="AN1655" s="818"/>
      <c r="AO1655" s="818"/>
      <c r="AP1655" s="818"/>
      <c r="AQ1655" s="818"/>
      <c r="AR1655" s="818"/>
      <c r="AS1655" s="760"/>
      <c r="AT1655" s="760"/>
      <c r="FA1655" s="1097" t="str">
        <f>$AM$513</f>
        <v>"В И Н З А В О Д"  А Д - гр. АСЕНОВГРАД</v>
      </c>
      <c r="FB1655" s="818"/>
      <c r="FC1655" s="818"/>
      <c r="FD1655" s="818"/>
      <c r="FE1655" s="818"/>
      <c r="FF1655" s="818"/>
      <c r="FG1655" s="760"/>
      <c r="FH1655" s="760"/>
    </row>
    <row r="1656" spans="39:164" ht="19.5" customHeight="1">
      <c r="AM1656" s="666"/>
      <c r="AN1656" s="666" t="s">
        <v>2156</v>
      </c>
      <c r="AO1656" s="666"/>
      <c r="AP1656" s="666"/>
      <c r="AQ1656" s="666"/>
      <c r="AR1656" s="666"/>
      <c r="AS1656" s="666"/>
      <c r="AT1656" s="666"/>
      <c r="FA1656" s="666"/>
      <c r="FB1656" s="666" t="s">
        <v>2156</v>
      </c>
      <c r="FC1656" s="666"/>
      <c r="FD1656" s="666"/>
      <c r="FE1656" s="666"/>
      <c r="FF1656" s="666"/>
      <c r="FG1656" s="666"/>
      <c r="FH1656" s="666"/>
    </row>
    <row r="1657" spans="39:164" ht="19.5" customHeight="1">
      <c r="AM1657" s="666" t="s">
        <v>2415</v>
      </c>
      <c r="AN1657" s="666"/>
      <c r="AO1657" s="666"/>
      <c r="AP1657" s="666"/>
      <c r="AQ1657" s="666"/>
      <c r="AR1657" s="666"/>
      <c r="AS1657" s="666"/>
      <c r="AT1657" s="666"/>
      <c r="FA1657" s="666" t="s">
        <v>2415</v>
      </c>
      <c r="FB1657" s="666"/>
      <c r="FC1657" s="666"/>
      <c r="FD1657" s="666"/>
      <c r="FE1657" s="666"/>
      <c r="FF1657" s="666"/>
      <c r="FG1657" s="666"/>
      <c r="FH1657" s="666"/>
    </row>
    <row r="1658" spans="39:164" ht="19.5" customHeight="1">
      <c r="AM1658" s="666" t="s">
        <v>230</v>
      </c>
      <c r="AN1658" s="666"/>
      <c r="AO1658" s="666"/>
      <c r="AP1658" s="666"/>
      <c r="AQ1658" s="666"/>
      <c r="AR1658" s="666"/>
      <c r="AS1658" s="666"/>
      <c r="AT1658" s="666"/>
      <c r="FA1658" s="666" t="s">
        <v>230</v>
      </c>
      <c r="FB1658" s="666"/>
      <c r="FC1658" s="666"/>
      <c r="FD1658" s="666"/>
      <c r="FE1658" s="666"/>
      <c r="FF1658" s="666"/>
      <c r="FG1658" s="666"/>
      <c r="FH1658" s="666"/>
    </row>
    <row r="1659" spans="39:164" ht="19.5" customHeight="1">
      <c r="AM1659" s="666" t="s">
        <v>1669</v>
      </c>
      <c r="AN1659" s="666"/>
      <c r="AO1659" s="666"/>
      <c r="AP1659" s="666"/>
      <c r="AQ1659" s="666"/>
      <c r="AR1659" s="666"/>
      <c r="AS1659" s="666"/>
      <c r="AT1659" s="666"/>
      <c r="BF1659" s="600" t="str">
        <f>+' -'!$E$21</f>
        <v>Програмата за финансов анализ е лицензирана на:</v>
      </c>
      <c r="BG1659" s="582"/>
      <c r="BH1659" s="582"/>
      <c r="FA1659" s="666" t="s">
        <v>1669</v>
      </c>
      <c r="FB1659" s="666"/>
      <c r="FC1659" s="666"/>
      <c r="FD1659" s="666"/>
      <c r="FE1659" s="666"/>
      <c r="FF1659" s="666"/>
      <c r="FG1659" s="666"/>
      <c r="FH1659" s="666"/>
    </row>
    <row r="1660" spans="39:164" ht="19.5" customHeight="1">
      <c r="AM1660" s="666"/>
      <c r="AN1660" s="666" t="s">
        <v>1670</v>
      </c>
      <c r="AO1660" s="666"/>
      <c r="AP1660" s="666"/>
      <c r="AQ1660" s="666"/>
      <c r="AR1660" s="666"/>
      <c r="AS1660" s="666"/>
      <c r="AT1660" s="666"/>
      <c r="BF1660" s="601"/>
      <c r="BG1660" s="10"/>
      <c r="BH1660" s="10"/>
      <c r="FA1660" s="666"/>
      <c r="FB1660" s="666" t="s">
        <v>1670</v>
      </c>
      <c r="FC1660" s="666"/>
      <c r="FD1660" s="666"/>
      <c r="FE1660" s="666"/>
      <c r="FF1660" s="666"/>
      <c r="FG1660" s="666"/>
      <c r="FH1660" s="666"/>
    </row>
    <row r="1661" spans="39:164" ht="19.5" customHeight="1">
      <c r="AM1661" s="666" t="s">
        <v>2157</v>
      </c>
      <c r="AN1661" s="666"/>
      <c r="AO1661" s="666"/>
      <c r="AP1661" s="666"/>
      <c r="AQ1661" s="666"/>
      <c r="AR1661" s="666"/>
      <c r="AS1661" s="666"/>
      <c r="AT1661" s="666"/>
      <c r="BF1661" s="600" t="str">
        <f>+' -'!$E$22</f>
        <v>"В И Н З А В О Д"  А Д - гр. АСЕНОВГРАД</v>
      </c>
      <c r="BG1661" s="581"/>
      <c r="BH1661" s="581"/>
      <c r="FA1661" s="666" t="s">
        <v>2157</v>
      </c>
      <c r="FB1661" s="666"/>
      <c r="FC1661" s="666"/>
      <c r="FD1661" s="666"/>
      <c r="FE1661" s="666"/>
      <c r="FF1661" s="666"/>
      <c r="FG1661" s="666"/>
      <c r="FH1661" s="666"/>
    </row>
    <row r="1662" spans="39:164" ht="19.5" customHeight="1">
      <c r="AM1662" s="666"/>
      <c r="AN1662" s="666" t="s">
        <v>2344</v>
      </c>
      <c r="AO1662" s="666"/>
      <c r="AP1662" s="666"/>
      <c r="AQ1662" s="666"/>
      <c r="AR1662" s="666"/>
      <c r="AS1662" s="666"/>
      <c r="AT1662" s="666"/>
      <c r="FA1662" s="666"/>
      <c r="FB1662" s="666" t="s">
        <v>2344</v>
      </c>
      <c r="FC1662" s="666"/>
      <c r="FD1662" s="666"/>
      <c r="FE1662" s="666"/>
      <c r="FF1662" s="666"/>
      <c r="FG1662" s="666"/>
      <c r="FH1662" s="666"/>
    </row>
    <row r="1663" spans="39:164" ht="19.5" customHeight="1">
      <c r="AM1663" s="666" t="s">
        <v>2158</v>
      </c>
      <c r="AN1663" s="666"/>
      <c r="AO1663" s="666"/>
      <c r="AP1663" s="666"/>
      <c r="AQ1663" s="666"/>
      <c r="AR1663" s="666"/>
      <c r="AS1663" s="666"/>
      <c r="AT1663" s="666"/>
      <c r="FA1663" s="666" t="s">
        <v>2158</v>
      </c>
      <c r="FB1663" s="666"/>
      <c r="FC1663" s="666"/>
      <c r="FD1663" s="666"/>
      <c r="FE1663" s="666"/>
      <c r="FF1663" s="666"/>
      <c r="FG1663" s="666"/>
      <c r="FH1663" s="666"/>
    </row>
    <row r="1664" spans="39:164" ht="19.5" customHeight="1">
      <c r="AM1664" s="666" t="s">
        <v>2343</v>
      </c>
      <c r="AN1664" s="666"/>
      <c r="AO1664" s="666"/>
      <c r="AP1664" s="666"/>
      <c r="AQ1664" s="666"/>
      <c r="AR1664" s="666"/>
      <c r="AS1664" s="666"/>
      <c r="AT1664" s="666"/>
      <c r="FA1664" s="666" t="s">
        <v>2343</v>
      </c>
      <c r="FB1664" s="666"/>
      <c r="FC1664" s="666"/>
      <c r="FD1664" s="666"/>
      <c r="FE1664" s="666"/>
      <c r="FF1664" s="666"/>
      <c r="FG1664" s="666"/>
      <c r="FH1664" s="666"/>
    </row>
    <row r="1665" spans="39:164" ht="18" customHeight="1">
      <c r="AM1665" s="666"/>
      <c r="AN1665" s="666"/>
      <c r="AO1665" s="666"/>
      <c r="AP1665" s="666"/>
      <c r="AQ1665" s="666"/>
      <c r="AR1665" s="666"/>
      <c r="AS1665" s="666"/>
      <c r="AT1665" s="666"/>
      <c r="AU1665" s="62">
        <f>+' -'!$B$11</f>
      </c>
      <c r="FA1665" s="666"/>
      <c r="FB1665" s="666"/>
      <c r="FC1665" s="666"/>
      <c r="FD1665" s="666"/>
      <c r="FE1665" s="666"/>
      <c r="FF1665" s="666"/>
      <c r="FG1665" s="666"/>
      <c r="FH1665" s="666"/>
    </row>
    <row r="1666" spans="39:171" ht="28.5">
      <c r="AM1666" s="1157" t="s">
        <v>1612</v>
      </c>
      <c r="AN1666" s="1158" t="s">
        <v>1613</v>
      </c>
      <c r="AO1666" s="1113"/>
      <c r="AP1666" s="1114"/>
      <c r="AQ1666" s="1114"/>
      <c r="AR1666" s="1157" t="s">
        <v>1671</v>
      </c>
      <c r="AS1666" s="1157" t="str">
        <f>$P$275</f>
        <v>Текущ период</v>
      </c>
      <c r="AT1666" s="1159" t="str">
        <f>$S$275</f>
        <v>Предходен период</v>
      </c>
      <c r="FA1666" s="1157" t="s">
        <v>1612</v>
      </c>
      <c r="FB1666" s="1158" t="s">
        <v>1613</v>
      </c>
      <c r="FC1666" s="1113"/>
      <c r="FD1666" s="1114"/>
      <c r="FE1666" s="1114"/>
      <c r="FF1666" s="1157" t="s">
        <v>1671</v>
      </c>
      <c r="FG1666" s="1157" t="str">
        <f>$P$275</f>
        <v>Текущ период</v>
      </c>
      <c r="FH1666" s="1157">
        <v>1</v>
      </c>
      <c r="FI1666" s="1157" t="s">
        <v>983</v>
      </c>
      <c r="FJ1666" s="1157">
        <v>3</v>
      </c>
      <c r="FK1666" s="1157">
        <v>4</v>
      </c>
      <c r="FL1666" s="1157">
        <v>5</v>
      </c>
      <c r="FM1666" s="1157">
        <v>6</v>
      </c>
      <c r="FN1666" s="1157">
        <v>7</v>
      </c>
      <c r="FO1666" s="1159" t="str">
        <f>$S$275</f>
        <v>Предходен период</v>
      </c>
    </row>
    <row r="1667" spans="39:171" ht="19.5" customHeight="1">
      <c r="AM1667" s="1156">
        <v>1</v>
      </c>
      <c r="AN1667" s="999" t="s">
        <v>0</v>
      </c>
      <c r="AO1667" s="792"/>
      <c r="AP1667" s="792"/>
      <c r="AQ1667" s="793"/>
      <c r="AR1667" s="1156" t="s">
        <v>1674</v>
      </c>
      <c r="AS1667" s="1160">
        <f>$D$97-$D$164</f>
        <v>12049</v>
      </c>
      <c r="AT1667" s="1160">
        <f>$E$97-$E$164</f>
        <v>11342</v>
      </c>
      <c r="FA1667" s="1156">
        <v>1</v>
      </c>
      <c r="FB1667" s="999" t="s">
        <v>0</v>
      </c>
      <c r="FC1667" s="792"/>
      <c r="FD1667" s="792"/>
      <c r="FE1667" s="793"/>
      <c r="FF1667" s="1156" t="s">
        <v>1674</v>
      </c>
      <c r="FG1667" s="1160">
        <f aca="true" t="shared" si="62" ref="FG1667:FN1667">$D$97-$D$164</f>
        <v>12049</v>
      </c>
      <c r="FH1667" s="1382">
        <f t="shared" si="62"/>
        <v>12049</v>
      </c>
      <c r="FI1667" s="1382">
        <f t="shared" si="62"/>
        <v>12049</v>
      </c>
      <c r="FJ1667" s="1382">
        <f t="shared" si="62"/>
        <v>12049</v>
      </c>
      <c r="FK1667" s="1382">
        <f t="shared" si="62"/>
        <v>12049</v>
      </c>
      <c r="FL1667" s="1382">
        <f t="shared" si="62"/>
        <v>12049</v>
      </c>
      <c r="FM1667" s="1382">
        <f t="shared" si="62"/>
        <v>12049</v>
      </c>
      <c r="FN1667" s="1382">
        <f t="shared" si="62"/>
        <v>12049</v>
      </c>
      <c r="FO1667" s="1160">
        <f>$E$97-$E$164</f>
        <v>11342</v>
      </c>
    </row>
    <row r="1668" spans="39:171" ht="19.5" customHeight="1">
      <c r="AM1668" s="1156">
        <v>2</v>
      </c>
      <c r="AN1668" s="791" t="s">
        <v>1675</v>
      </c>
      <c r="AO1668" s="792"/>
      <c r="AP1668" s="792"/>
      <c r="AQ1668" s="793"/>
      <c r="AR1668" s="1156" t="s">
        <v>1674</v>
      </c>
      <c r="AS1668" s="1160">
        <f>$D$98</f>
        <v>21489</v>
      </c>
      <c r="AT1668" s="1160">
        <f>$E$98</f>
        <v>19317</v>
      </c>
      <c r="FA1668" s="1156">
        <v>2</v>
      </c>
      <c r="FB1668" s="791" t="s">
        <v>1675</v>
      </c>
      <c r="FC1668" s="792"/>
      <c r="FD1668" s="792"/>
      <c r="FE1668" s="793"/>
      <c r="FF1668" s="1156" t="s">
        <v>1674</v>
      </c>
      <c r="FG1668" s="1160">
        <f>$D$98</f>
        <v>21489</v>
      </c>
      <c r="FH1668" s="1160">
        <f>$E$98</f>
        <v>19317</v>
      </c>
      <c r="FI1668" s="1382">
        <f aca="true" t="shared" si="63" ref="FI1668:FN1668">$D$98</f>
        <v>21489</v>
      </c>
      <c r="FJ1668" s="1382">
        <f t="shared" si="63"/>
        <v>21489</v>
      </c>
      <c r="FK1668" s="1382">
        <f t="shared" si="63"/>
        <v>21489</v>
      </c>
      <c r="FL1668" s="1382">
        <f t="shared" si="63"/>
        <v>21489</v>
      </c>
      <c r="FM1668" s="1382">
        <f t="shared" si="63"/>
        <v>21489</v>
      </c>
      <c r="FN1668" s="1382">
        <f t="shared" si="63"/>
        <v>21489</v>
      </c>
      <c r="FO1668" s="1160">
        <f>$E$98</f>
        <v>19317</v>
      </c>
    </row>
    <row r="1669" spans="39:171" ht="19.5" customHeight="1">
      <c r="AM1669" s="1156" t="s">
        <v>1676</v>
      </c>
      <c r="AN1669" s="791" t="s">
        <v>1677</v>
      </c>
      <c r="AO1669" s="792"/>
      <c r="AP1669" s="792"/>
      <c r="AQ1669" s="793"/>
      <c r="AR1669" s="1156" t="s">
        <v>1674</v>
      </c>
      <c r="AS1669" s="1160">
        <f>$AS$1668/360*$AR$509</f>
        <v>21489</v>
      </c>
      <c r="AT1669" s="1160">
        <f>$AT$1668/360*$AS$509</f>
        <v>19317</v>
      </c>
      <c r="FA1669" s="1156" t="s">
        <v>1676</v>
      </c>
      <c r="FB1669" s="791" t="s">
        <v>1677</v>
      </c>
      <c r="FC1669" s="792"/>
      <c r="FD1669" s="792"/>
      <c r="FE1669" s="793"/>
      <c r="FF1669" s="1156" t="s">
        <v>1674</v>
      </c>
      <c r="FG1669" s="1160">
        <f>$AS$1668/360*$AR$509</f>
        <v>21489</v>
      </c>
      <c r="FH1669" s="1160">
        <f>$AT$1668/360*$AS$509</f>
        <v>19317</v>
      </c>
      <c r="FI1669" s="1382">
        <f aca="true" t="shared" si="64" ref="FI1669:FN1669">$AS$1668/360*$AR$509</f>
        <v>21489</v>
      </c>
      <c r="FJ1669" s="1382">
        <f t="shared" si="64"/>
        <v>21489</v>
      </c>
      <c r="FK1669" s="1382">
        <f t="shared" si="64"/>
        <v>21489</v>
      </c>
      <c r="FL1669" s="1382">
        <f t="shared" si="64"/>
        <v>21489</v>
      </c>
      <c r="FM1669" s="1382">
        <f t="shared" si="64"/>
        <v>21489</v>
      </c>
      <c r="FN1669" s="1382">
        <f t="shared" si="64"/>
        <v>21489</v>
      </c>
      <c r="FO1669" s="1160">
        <f>$AT$1668/360*$AS$509</f>
        <v>19317</v>
      </c>
    </row>
    <row r="1670" spans="39:171" ht="19.5" customHeight="1">
      <c r="AM1670" s="1156">
        <v>3</v>
      </c>
      <c r="AN1670" s="791" t="s">
        <v>1678</v>
      </c>
      <c r="AO1670" s="792"/>
      <c r="AP1670" s="792"/>
      <c r="AQ1670" s="793"/>
      <c r="AR1670" s="1156" t="s">
        <v>1674</v>
      </c>
      <c r="AS1670" s="1160">
        <f>$D$125</f>
        <v>0</v>
      </c>
      <c r="AT1670" s="1160">
        <f>$E$125</f>
        <v>0</v>
      </c>
      <c r="FA1670" s="1156">
        <v>3</v>
      </c>
      <c r="FB1670" s="791" t="s">
        <v>1678</v>
      </c>
      <c r="FC1670" s="792"/>
      <c r="FD1670" s="792"/>
      <c r="FE1670" s="793"/>
      <c r="FF1670" s="1156" t="s">
        <v>1674</v>
      </c>
      <c r="FG1670" s="1160">
        <f>$D$125</f>
        <v>0</v>
      </c>
      <c r="FH1670" s="1160">
        <f>$E$125</f>
        <v>0</v>
      </c>
      <c r="FI1670" s="1160">
        <f>$E$125</f>
        <v>0</v>
      </c>
      <c r="FJ1670" s="1382">
        <f>$D$125</f>
        <v>0</v>
      </c>
      <c r="FK1670" s="1382">
        <f>$D$125</f>
        <v>0</v>
      </c>
      <c r="FL1670" s="1382">
        <f>$D$125</f>
        <v>0</v>
      </c>
      <c r="FM1670" s="1382">
        <f>$D$125</f>
        <v>0</v>
      </c>
      <c r="FN1670" s="1382">
        <f>$D$125</f>
        <v>0</v>
      </c>
      <c r="FO1670" s="1160">
        <f>$E$125</f>
        <v>0</v>
      </c>
    </row>
    <row r="1671" spans="39:171" ht="19.5" customHeight="1">
      <c r="AM1671" s="1156">
        <v>4</v>
      </c>
      <c r="AN1671" s="791" t="s">
        <v>1679</v>
      </c>
      <c r="AO1671" s="792"/>
      <c r="AP1671" s="792"/>
      <c r="AQ1671" s="793"/>
      <c r="AR1671" s="1156" t="s">
        <v>1674</v>
      </c>
      <c r="AS1671" s="1160">
        <f>$K$214-$K$252</f>
        <v>138</v>
      </c>
      <c r="AT1671" s="1160">
        <f>$L$214-$L$252</f>
        <v>457</v>
      </c>
      <c r="FA1671" s="1156">
        <v>4</v>
      </c>
      <c r="FB1671" s="791" t="s">
        <v>1679</v>
      </c>
      <c r="FC1671" s="792"/>
      <c r="FD1671" s="792"/>
      <c r="FE1671" s="793"/>
      <c r="FF1671" s="1156" t="s">
        <v>1674</v>
      </c>
      <c r="FG1671" s="1160">
        <f>$K$214-$K$252</f>
        <v>138</v>
      </c>
      <c r="FH1671" s="1160">
        <f>$L$214-$L$252</f>
        <v>457</v>
      </c>
      <c r="FI1671" s="1160">
        <f>$L$214-$L$252</f>
        <v>457</v>
      </c>
      <c r="FJ1671" s="1160">
        <f>$L$214-$L$252</f>
        <v>457</v>
      </c>
      <c r="FK1671" s="1382">
        <f>$K$214-$K$252</f>
        <v>138</v>
      </c>
      <c r="FL1671" s="1382">
        <f>$K$214-$K$252</f>
        <v>138</v>
      </c>
      <c r="FM1671" s="1382">
        <f>$K$214-$K$252</f>
        <v>138</v>
      </c>
      <c r="FN1671" s="1382">
        <f>$K$214-$K$252</f>
        <v>138</v>
      </c>
      <c r="FO1671" s="1160">
        <f>$L$214-$L$252</f>
        <v>457</v>
      </c>
    </row>
    <row r="1672" spans="39:171" ht="19.5" customHeight="1">
      <c r="AM1672" s="1156">
        <v>5</v>
      </c>
      <c r="AN1672" s="791" t="s">
        <v>952</v>
      </c>
      <c r="AO1672" s="792"/>
      <c r="AP1672" s="792"/>
      <c r="AQ1672" s="793"/>
      <c r="AR1672" s="1156" t="s">
        <v>1674</v>
      </c>
      <c r="AS1672" s="1160">
        <f>$AR$508</f>
        <v>14884</v>
      </c>
      <c r="AT1672" s="1160">
        <f>$AS$508</f>
        <v>14855</v>
      </c>
      <c r="FA1672" s="1156">
        <v>5</v>
      </c>
      <c r="FB1672" s="791" t="s">
        <v>952</v>
      </c>
      <c r="FC1672" s="792"/>
      <c r="FD1672" s="792"/>
      <c r="FE1672" s="793"/>
      <c r="FF1672" s="1156" t="s">
        <v>1674</v>
      </c>
      <c r="FG1672" s="1160">
        <f>$AR$508</f>
        <v>14884</v>
      </c>
      <c r="FH1672" s="1160">
        <f>$AS$508</f>
        <v>14855</v>
      </c>
      <c r="FI1672" s="1160">
        <f>$AS$508</f>
        <v>14855</v>
      </c>
      <c r="FJ1672" s="1160">
        <f>$AS$508</f>
        <v>14855</v>
      </c>
      <c r="FK1672" s="1160">
        <f>$AS$508</f>
        <v>14855</v>
      </c>
      <c r="FL1672" s="1382">
        <f>$AR$508</f>
        <v>14884</v>
      </c>
      <c r="FM1672" s="1382">
        <f>$AR$508</f>
        <v>14884</v>
      </c>
      <c r="FN1672" s="1382">
        <f>$AR$508</f>
        <v>14884</v>
      </c>
      <c r="FO1672" s="1160">
        <f>$AS$508</f>
        <v>14855</v>
      </c>
    </row>
    <row r="1673" spans="39:171" ht="19.5" customHeight="1">
      <c r="AM1673" s="1156">
        <v>6</v>
      </c>
      <c r="AN1673" s="791" t="s">
        <v>832</v>
      </c>
      <c r="AO1673" s="792"/>
      <c r="AP1673" s="792"/>
      <c r="AQ1673" s="793"/>
      <c r="AR1673" s="1156" t="s">
        <v>1674</v>
      </c>
      <c r="AS1673" s="1160">
        <f>$K$235</f>
        <v>6688</v>
      </c>
      <c r="AT1673" s="1160">
        <f>$L$235</f>
        <v>7508</v>
      </c>
      <c r="FA1673" s="1156">
        <v>6</v>
      </c>
      <c r="FB1673" s="791" t="s">
        <v>832</v>
      </c>
      <c r="FC1673" s="792"/>
      <c r="FD1673" s="792"/>
      <c r="FE1673" s="793"/>
      <c r="FF1673" s="1156" t="s">
        <v>1674</v>
      </c>
      <c r="FG1673" s="1160">
        <f>$K$235</f>
        <v>6688</v>
      </c>
      <c r="FH1673" s="1160">
        <f>$L$235</f>
        <v>7508</v>
      </c>
      <c r="FI1673" s="1160">
        <f>$L$235</f>
        <v>7508</v>
      </c>
      <c r="FJ1673" s="1160">
        <f>$L$235</f>
        <v>7508</v>
      </c>
      <c r="FK1673" s="1160">
        <f>$L$235</f>
        <v>7508</v>
      </c>
      <c r="FL1673" s="1160">
        <f>$L$235</f>
        <v>7508</v>
      </c>
      <c r="FM1673" s="1382">
        <f>$K$235</f>
        <v>6688</v>
      </c>
      <c r="FN1673" s="1382">
        <f>$K$235</f>
        <v>6688</v>
      </c>
      <c r="FO1673" s="1160">
        <f>$L$235</f>
        <v>7508</v>
      </c>
    </row>
    <row r="1674" spans="39:171" ht="19.5" customHeight="1">
      <c r="AM1674" s="1156">
        <v>7</v>
      </c>
      <c r="AN1674" s="791" t="s">
        <v>1680</v>
      </c>
      <c r="AO1674" s="792"/>
      <c r="AP1674" s="792"/>
      <c r="AQ1674" s="793"/>
      <c r="AR1674" s="1156" t="s">
        <v>1674</v>
      </c>
      <c r="AS1674" s="1160">
        <f>$D$141+$D$142+$D$164</f>
        <v>6605</v>
      </c>
      <c r="AT1674" s="1160">
        <f>$E$141+$E$142+$E$164</f>
        <v>4462</v>
      </c>
      <c r="AU1674" s="64"/>
      <c r="FA1674" s="1156">
        <v>7</v>
      </c>
      <c r="FB1674" s="791" t="s">
        <v>1680</v>
      </c>
      <c r="FC1674" s="792"/>
      <c r="FD1674" s="792"/>
      <c r="FE1674" s="793"/>
      <c r="FF1674" s="1156" t="s">
        <v>1674</v>
      </c>
      <c r="FG1674" s="1160">
        <f>$D$141+$D$142+$D$164</f>
        <v>6605</v>
      </c>
      <c r="FH1674" s="1160">
        <f aca="true" t="shared" si="65" ref="FH1674:FM1674">$E$141+$E$142+$E$164</f>
        <v>4462</v>
      </c>
      <c r="FI1674" s="1160">
        <f t="shared" si="65"/>
        <v>4462</v>
      </c>
      <c r="FJ1674" s="1160">
        <f t="shared" si="65"/>
        <v>4462</v>
      </c>
      <c r="FK1674" s="1160">
        <f t="shared" si="65"/>
        <v>4462</v>
      </c>
      <c r="FL1674" s="1160">
        <f t="shared" si="65"/>
        <v>4462</v>
      </c>
      <c r="FM1674" s="1160">
        <f t="shared" si="65"/>
        <v>4462</v>
      </c>
      <c r="FN1674" s="1382">
        <f>$D$141+$D$142+$D$164</f>
        <v>6605</v>
      </c>
      <c r="FO1674" s="1160">
        <f>$E$141+$E$142+$E$164</f>
        <v>4462</v>
      </c>
    </row>
    <row r="1675" spans="39:171" ht="18" customHeight="1">
      <c r="AM1675" s="871"/>
      <c r="AN1675" s="871"/>
      <c r="AO1675" s="871"/>
      <c r="AP1675" s="871"/>
      <c r="AQ1675" s="871"/>
      <c r="AR1675" s="871"/>
      <c r="AS1675" s="871"/>
      <c r="AT1675" s="871"/>
      <c r="AU1675" s="62">
        <f>+' -'!$C$12</f>
      </c>
      <c r="FA1675" s="871"/>
      <c r="FB1675" s="871"/>
      <c r="FC1675" s="871"/>
      <c r="FD1675" s="871"/>
      <c r="FE1675" s="871"/>
      <c r="FF1675" s="871"/>
      <c r="FG1675" s="871"/>
      <c r="FH1675" s="871"/>
      <c r="FI1675" s="871"/>
      <c r="FJ1675" s="871"/>
      <c r="FK1675" s="871"/>
      <c r="FL1675" s="871"/>
      <c r="FM1675" s="871"/>
      <c r="FN1675" s="871"/>
      <c r="FO1675" s="871"/>
    </row>
    <row r="1676" spans="39:171" ht="19.5" customHeight="1">
      <c r="AM1676" s="1161" t="s">
        <v>1163</v>
      </c>
      <c r="AN1676" s="214"/>
      <c r="AO1676" s="214"/>
      <c r="AP1676" s="214"/>
      <c r="AQ1676" s="214"/>
      <c r="AR1676" s="214"/>
      <c r="AS1676" s="214"/>
      <c r="AT1676" s="214"/>
      <c r="FA1676" s="1161" t="s">
        <v>1163</v>
      </c>
      <c r="FB1676" s="214"/>
      <c r="FC1676" s="214"/>
      <c r="FD1676" s="214"/>
      <c r="FE1676" s="214"/>
      <c r="FF1676" s="214"/>
      <c r="FG1676" s="214"/>
      <c r="FH1676" s="214"/>
      <c r="FI1676" s="214"/>
      <c r="FJ1676" s="214"/>
      <c r="FK1676" s="214"/>
      <c r="FL1676" s="214"/>
      <c r="FM1676" s="214"/>
      <c r="FN1676" s="214"/>
      <c r="FO1676" s="214"/>
    </row>
    <row r="1677" spans="39:171" ht="19.5" customHeight="1">
      <c r="AM1677" s="1156">
        <v>8</v>
      </c>
      <c r="AN1677" s="1162" t="s">
        <v>1164</v>
      </c>
      <c r="AO1677" s="1090"/>
      <c r="AP1677" s="1091"/>
      <c r="AQ1677" s="1091"/>
      <c r="AR1677" s="1156" t="s">
        <v>705</v>
      </c>
      <c r="AS1677" s="1031">
        <f>AS1667/AS1669</f>
        <v>0.5607054772209037</v>
      </c>
      <c r="AT1677" s="1031">
        <f>AT1667/AT1669</f>
        <v>0.5871512139566185</v>
      </c>
      <c r="FA1677" s="1156">
        <v>8</v>
      </c>
      <c r="FB1677" s="1162" t="s">
        <v>1164</v>
      </c>
      <c r="FC1677" s="1090"/>
      <c r="FD1677" s="1091"/>
      <c r="FE1677" s="1091"/>
      <c r="FF1677" s="1156" t="s">
        <v>705</v>
      </c>
      <c r="FG1677" s="1031">
        <f aca="true" t="shared" si="66" ref="FG1677:FO1677">FG1667/FG1669</f>
        <v>0.5607054772209037</v>
      </c>
      <c r="FH1677" s="1031">
        <f t="shared" si="66"/>
        <v>0.6237511000672983</v>
      </c>
      <c r="FI1677" s="1031">
        <f t="shared" si="66"/>
        <v>0.5607054772209037</v>
      </c>
      <c r="FJ1677" s="1031">
        <f t="shared" si="66"/>
        <v>0.5607054772209037</v>
      </c>
      <c r="FK1677" s="1031">
        <f t="shared" si="66"/>
        <v>0.5607054772209037</v>
      </c>
      <c r="FL1677" s="1031">
        <f t="shared" si="66"/>
        <v>0.5607054772209037</v>
      </c>
      <c r="FM1677" s="1031">
        <f t="shared" si="66"/>
        <v>0.5607054772209037</v>
      </c>
      <c r="FN1677" s="1031">
        <f t="shared" si="66"/>
        <v>0.5607054772209037</v>
      </c>
      <c r="FO1677" s="1031">
        <f t="shared" si="66"/>
        <v>0.5871512139566185</v>
      </c>
    </row>
    <row r="1678" spans="39:171" ht="19.5" customHeight="1">
      <c r="AM1678" s="1156">
        <v>9</v>
      </c>
      <c r="AN1678" s="1162" t="s">
        <v>1165</v>
      </c>
      <c r="AO1678" s="1090"/>
      <c r="AP1678" s="1091"/>
      <c r="AQ1678" s="1091"/>
      <c r="AR1678" s="1156" t="s">
        <v>705</v>
      </c>
      <c r="AS1678" s="1031">
        <f>AS1670/AS1669</f>
        <v>0</v>
      </c>
      <c r="AT1678" s="1031">
        <f>AT1670/AT1669</f>
        <v>0</v>
      </c>
      <c r="FA1678" s="1156">
        <v>9</v>
      </c>
      <c r="FB1678" s="1162" t="s">
        <v>1165</v>
      </c>
      <c r="FC1678" s="1090"/>
      <c r="FD1678" s="1091"/>
      <c r="FE1678" s="1091"/>
      <c r="FF1678" s="1156" t="s">
        <v>705</v>
      </c>
      <c r="FG1678" s="1031">
        <f aca="true" t="shared" si="67" ref="FG1678:FO1678">FG1670/FG1669</f>
        <v>0</v>
      </c>
      <c r="FH1678" s="1031">
        <f t="shared" si="67"/>
        <v>0</v>
      </c>
      <c r="FI1678" s="1031">
        <f t="shared" si="67"/>
        <v>0</v>
      </c>
      <c r="FJ1678" s="1031">
        <f t="shared" si="67"/>
        <v>0</v>
      </c>
      <c r="FK1678" s="1031">
        <f t="shared" si="67"/>
        <v>0</v>
      </c>
      <c r="FL1678" s="1031">
        <f t="shared" si="67"/>
        <v>0</v>
      </c>
      <c r="FM1678" s="1031">
        <f t="shared" si="67"/>
        <v>0</v>
      </c>
      <c r="FN1678" s="1031">
        <f t="shared" si="67"/>
        <v>0</v>
      </c>
      <c r="FO1678" s="1031">
        <f t="shared" si="67"/>
        <v>0</v>
      </c>
    </row>
    <row r="1679" spans="39:171" ht="19.5" customHeight="1">
      <c r="AM1679" s="1156">
        <v>10</v>
      </c>
      <c r="AN1679" s="1162" t="s">
        <v>1166</v>
      </c>
      <c r="AO1679" s="1090"/>
      <c r="AP1679" s="1091"/>
      <c r="AQ1679" s="1091"/>
      <c r="AR1679" s="1156" t="s">
        <v>705</v>
      </c>
      <c r="AS1679" s="1031">
        <f>AS1671/AS1669</f>
        <v>0.006421890269440179</v>
      </c>
      <c r="AT1679" s="1031">
        <f>AT1671/AT1669</f>
        <v>0.02365791789615365</v>
      </c>
      <c r="FA1679" s="1156">
        <v>10</v>
      </c>
      <c r="FB1679" s="1162" t="s">
        <v>1166</v>
      </c>
      <c r="FC1679" s="1090"/>
      <c r="FD1679" s="1091"/>
      <c r="FE1679" s="1091"/>
      <c r="FF1679" s="1156" t="s">
        <v>705</v>
      </c>
      <c r="FG1679" s="1031">
        <f aca="true" t="shared" si="68" ref="FG1679:FO1679">FG1671/FG1669</f>
        <v>0.006421890269440179</v>
      </c>
      <c r="FH1679" s="1031">
        <f t="shared" si="68"/>
        <v>0.02365791789615365</v>
      </c>
      <c r="FI1679" s="1031">
        <f t="shared" si="68"/>
        <v>0.02126669458792871</v>
      </c>
      <c r="FJ1679" s="1031">
        <f t="shared" si="68"/>
        <v>0.02126669458792871</v>
      </c>
      <c r="FK1679" s="1031">
        <f t="shared" si="68"/>
        <v>0.006421890269440179</v>
      </c>
      <c r="FL1679" s="1031">
        <f t="shared" si="68"/>
        <v>0.006421890269440179</v>
      </c>
      <c r="FM1679" s="1031">
        <f t="shared" si="68"/>
        <v>0.006421890269440179</v>
      </c>
      <c r="FN1679" s="1031">
        <f t="shared" si="68"/>
        <v>0.006421890269440179</v>
      </c>
      <c r="FO1679" s="1031">
        <f t="shared" si="68"/>
        <v>0.02365791789615365</v>
      </c>
    </row>
    <row r="1680" spans="39:171" ht="19.5" customHeight="1">
      <c r="AM1680" s="1156">
        <v>11</v>
      </c>
      <c r="AN1680" s="1162" t="s">
        <v>1167</v>
      </c>
      <c r="AO1680" s="1090"/>
      <c r="AP1680" s="1091"/>
      <c r="AQ1680" s="1091"/>
      <c r="AR1680" s="1156" t="s">
        <v>705</v>
      </c>
      <c r="AS1680" s="1031">
        <f>IF(AS1674=0,8,AS1672/AS1674)</f>
        <v>2.253444360333081</v>
      </c>
      <c r="AT1680" s="1031">
        <f>IF(AT1674=0,8,AT1672/AT1674)</f>
        <v>3.329224562976244</v>
      </c>
      <c r="FA1680" s="1156">
        <v>11</v>
      </c>
      <c r="FB1680" s="1162" t="s">
        <v>1167</v>
      </c>
      <c r="FC1680" s="1090"/>
      <c r="FD1680" s="1091"/>
      <c r="FE1680" s="1091"/>
      <c r="FF1680" s="1156" t="s">
        <v>705</v>
      </c>
      <c r="FG1680" s="1031">
        <f aca="true" t="shared" si="69" ref="FG1680:FO1680">IF(FG1674=0,8,FG1672/FG1674)</f>
        <v>2.253444360333081</v>
      </c>
      <c r="FH1680" s="1031">
        <f t="shared" si="69"/>
        <v>3.329224562976244</v>
      </c>
      <c r="FI1680" s="1031">
        <f t="shared" si="69"/>
        <v>3.329224562976244</v>
      </c>
      <c r="FJ1680" s="1031">
        <f t="shared" si="69"/>
        <v>3.329224562976244</v>
      </c>
      <c r="FK1680" s="1031">
        <f t="shared" si="69"/>
        <v>3.329224562976244</v>
      </c>
      <c r="FL1680" s="1031">
        <f t="shared" si="69"/>
        <v>3.3357238906320035</v>
      </c>
      <c r="FM1680" s="1031">
        <f t="shared" si="69"/>
        <v>3.3357238906320035</v>
      </c>
      <c r="FN1680" s="1031">
        <f t="shared" si="69"/>
        <v>2.253444360333081</v>
      </c>
      <c r="FO1680" s="1031">
        <f t="shared" si="69"/>
        <v>3.329224562976244</v>
      </c>
    </row>
    <row r="1681" spans="39:171" ht="19.5" customHeight="1">
      <c r="AM1681" s="1156">
        <v>12</v>
      </c>
      <c r="AN1681" s="1162" t="s">
        <v>1168</v>
      </c>
      <c r="AO1681" s="1090"/>
      <c r="AP1681" s="1091"/>
      <c r="AQ1681" s="1091"/>
      <c r="AR1681" s="1156" t="s">
        <v>705</v>
      </c>
      <c r="AS1681" s="1031">
        <f>AS1673/AS1669</f>
        <v>0.3112290008841733</v>
      </c>
      <c r="AT1681" s="1031">
        <f>AT1673/AT1669</f>
        <v>0.3886731894186468</v>
      </c>
      <c r="FA1681" s="1156">
        <v>12</v>
      </c>
      <c r="FB1681" s="1162" t="s">
        <v>1168</v>
      </c>
      <c r="FC1681" s="1090"/>
      <c r="FD1681" s="1091"/>
      <c r="FE1681" s="1091"/>
      <c r="FF1681" s="1156" t="s">
        <v>705</v>
      </c>
      <c r="FG1681" s="1031">
        <f aca="true" t="shared" si="70" ref="FG1681:FO1681">FG1673/FG1669</f>
        <v>0.3112290008841733</v>
      </c>
      <c r="FH1681" s="1031">
        <f t="shared" si="70"/>
        <v>0.3886731894186468</v>
      </c>
      <c r="FI1681" s="1031">
        <f t="shared" si="70"/>
        <v>0.34938805900693376</v>
      </c>
      <c r="FJ1681" s="1031">
        <f t="shared" si="70"/>
        <v>0.34938805900693376</v>
      </c>
      <c r="FK1681" s="1031">
        <f t="shared" si="70"/>
        <v>0.34938805900693376</v>
      </c>
      <c r="FL1681" s="1031">
        <f t="shared" si="70"/>
        <v>0.34938805900693376</v>
      </c>
      <c r="FM1681" s="1031">
        <f t="shared" si="70"/>
        <v>0.3112290008841733</v>
      </c>
      <c r="FN1681" s="1031">
        <f t="shared" si="70"/>
        <v>0.3112290008841733</v>
      </c>
      <c r="FO1681" s="1031">
        <f t="shared" si="70"/>
        <v>0.3886731894186468</v>
      </c>
    </row>
    <row r="1682" spans="39:171" ht="19.5" customHeight="1">
      <c r="AM1682" s="1148">
        <v>13</v>
      </c>
      <c r="AN1682" s="1163" t="s">
        <v>1169</v>
      </c>
      <c r="AO1682" s="1164"/>
      <c r="AP1682" s="1164"/>
      <c r="AQ1682" s="1165"/>
      <c r="AR1682" s="215"/>
      <c r="AS1682" s="1166">
        <f>1.2*AS1677+1.4*AS1678+3.3*AS1679+0.6*AS1680+0.999*AS1681</f>
        <v>2.357023198637375</v>
      </c>
      <c r="AT1682" s="1166">
        <f>1.2*AT1677+1.4*AT1678+3.3*AT1679+0.6*AT1680+0.999*AT1681</f>
        <v>3.168471839820224</v>
      </c>
      <c r="FA1682" s="1148">
        <v>13</v>
      </c>
      <c r="FB1682" s="1163" t="s">
        <v>1169</v>
      </c>
      <c r="FC1682" s="1164"/>
      <c r="FD1682" s="1164"/>
      <c r="FE1682" s="1165"/>
      <c r="FF1682" s="215"/>
      <c r="FG1682" s="1166">
        <f aca="true" t="shared" si="71" ref="FG1682:FO1682">1.2*FG1677+1.4*FG1678+3.3*FG1679+0.6*FG1680+0.999*FG1681</f>
        <v>2.357023198637375</v>
      </c>
      <c r="FH1682" s="1166">
        <f t="shared" si="71"/>
        <v>3.2123917031530396</v>
      </c>
      <c r="FI1682" s="1166">
        <f t="shared" si="71"/>
        <v>3.089600073538922</v>
      </c>
      <c r="FJ1682" s="1166">
        <f t="shared" si="71"/>
        <v>3.089600073538922</v>
      </c>
      <c r="FK1682" s="1166">
        <f t="shared" si="71"/>
        <v>3.04061221928791</v>
      </c>
      <c r="FL1682" s="1166">
        <f t="shared" si="71"/>
        <v>3.0445118158813655</v>
      </c>
      <c r="FM1682" s="1166">
        <f t="shared" si="71"/>
        <v>3.006390916816728</v>
      </c>
      <c r="FN1682" s="1166">
        <f t="shared" si="71"/>
        <v>2.357023198637375</v>
      </c>
      <c r="FO1682" s="1166">
        <f t="shared" si="71"/>
        <v>3.168471839820224</v>
      </c>
    </row>
    <row r="1683" spans="39:171" ht="19.5" customHeight="1">
      <c r="AM1683" s="1146"/>
      <c r="AN1683" s="1167" t="s">
        <v>1170</v>
      </c>
      <c r="AO1683" s="1168"/>
      <c r="AP1683" s="1168"/>
      <c r="AQ1683" s="1168"/>
      <c r="AR1683" s="789"/>
      <c r="AS1683" s="209"/>
      <c r="AT1683" s="209"/>
      <c r="FA1683" s="1146"/>
      <c r="FB1683" s="1167" t="s">
        <v>1170</v>
      </c>
      <c r="FC1683" s="1168"/>
      <c r="FD1683" s="1168"/>
      <c r="FE1683" s="1168"/>
      <c r="FF1683" s="789"/>
      <c r="FG1683" s="209"/>
      <c r="FH1683" s="209"/>
      <c r="FI1683" s="209"/>
      <c r="FJ1683" s="209"/>
      <c r="FK1683" s="209"/>
      <c r="FL1683" s="209"/>
      <c r="FM1683" s="209"/>
      <c r="FN1683" s="209"/>
      <c r="FO1683" s="209"/>
    </row>
    <row r="1684" spans="39:171" ht="18" customHeight="1">
      <c r="AM1684" s="110"/>
      <c r="AN1684" s="1169"/>
      <c r="AO1684" s="110"/>
      <c r="AP1684" s="110"/>
      <c r="AQ1684" s="110"/>
      <c r="AR1684" s="871"/>
      <c r="AS1684" s="871"/>
      <c r="AT1684" s="871"/>
      <c r="FG1684" s="1383">
        <f>FG1682-FO1682</f>
        <v>-0.811448641182849</v>
      </c>
      <c r="FH1684" s="1383">
        <f>FH1682-FO1682</f>
        <v>0.04391986333281572</v>
      </c>
      <c r="FI1684" s="1383">
        <f aca="true" t="shared" si="72" ref="FI1684:FN1684">FI1682-FH1682</f>
        <v>-0.1227916296141176</v>
      </c>
      <c r="FJ1684" s="1383">
        <f t="shared" si="72"/>
        <v>0</v>
      </c>
      <c r="FK1684" s="1383">
        <f t="shared" si="72"/>
        <v>-0.04898785425101204</v>
      </c>
      <c r="FL1684" s="1383">
        <f t="shared" si="72"/>
        <v>0.003899596593455623</v>
      </c>
      <c r="FM1684" s="1383">
        <f t="shared" si="72"/>
        <v>-0.03812089906463756</v>
      </c>
      <c r="FN1684" s="1383">
        <f t="shared" si="72"/>
        <v>-0.6493677181793531</v>
      </c>
      <c r="FO1684" s="4"/>
    </row>
    <row r="1685" spans="39:46" ht="21.75" customHeight="1">
      <c r="AM1685" s="871"/>
      <c r="AN1685" s="1170"/>
      <c r="AO1685" s="214"/>
      <c r="AP1685" s="214"/>
      <c r="AQ1685" s="214"/>
      <c r="AR1685" s="214"/>
      <c r="AS1685" s="871"/>
      <c r="AT1685" s="871"/>
    </row>
    <row r="1686" spans="39:46" ht="35.25" customHeight="1">
      <c r="AM1686" s="1171"/>
      <c r="AN1686" s="1387"/>
      <c r="AO1686" s="1141"/>
      <c r="AP1686" s="1141"/>
      <c r="AQ1686" s="1141"/>
      <c r="AR1686" s="1141"/>
      <c r="AS1686" s="1141"/>
      <c r="AT1686" s="215"/>
    </row>
    <row r="1687" spans="39:46" ht="18" customHeight="1" hidden="1">
      <c r="AM1687" s="871"/>
      <c r="AN1687" s="1172" t="str">
        <f>IF(AND(AS1682&gt;2.675,AS1682&lt;=2.99),"Фирмата трудно може да се квалифицира като успяваща или фалираща",+AN1688)</f>
        <v>Фирмата е вероятен кандидат за фалит, ако не вземат навреме необходимите управленчески решения.</v>
      </c>
      <c r="AO1687" s="871"/>
      <c r="AP1687" s="871"/>
      <c r="AQ1687" s="871"/>
      <c r="AR1687" s="871"/>
      <c r="AS1687" s="871"/>
      <c r="AT1687" s="871"/>
    </row>
    <row r="1688" spans="39:46" ht="18" customHeight="1" hidden="1">
      <c r="AM1688" s="871"/>
      <c r="AN1688" s="1172" t="str">
        <f>IF(AND(AS1682&gt;1.81,AS1682&lt;=2.675),"Фирмата е вероятен кандидат за фалит, ако не вземат навреме необходимите управленчески решения.",+AN1689)</f>
        <v>Фирмата е вероятен кандидат за фалит, ако не вземат навреме необходимите управленчески решения.</v>
      </c>
      <c r="AO1688" s="871"/>
      <c r="AP1688" s="871"/>
      <c r="AQ1688" s="871"/>
      <c r="AR1688" s="871"/>
      <c r="AS1688" s="871"/>
      <c r="AT1688" s="871"/>
    </row>
    <row r="1689" spans="39:46" ht="18" customHeight="1" hidden="1">
      <c r="AM1689" s="871"/>
      <c r="AN1689" s="1172" t="e">
        <f>IF(AS1682&lt;=1.81,"На  фирмата  и  предстои  фалит",FA LSE)</f>
        <v>#NAME?</v>
      </c>
      <c r="AO1689" s="871"/>
      <c r="AP1689" s="871"/>
      <c r="AQ1689" s="871"/>
      <c r="AR1689" s="871"/>
      <c r="AS1689" s="871"/>
      <c r="AT1689" s="871"/>
    </row>
    <row r="1691" spans="39:47" ht="18" customHeight="1">
      <c r="AM1691" s="600" t="str">
        <f>+' -'!$E$21</f>
        <v>Програмата за финансов анализ е лицензирана на:</v>
      </c>
      <c r="AN1691" s="22"/>
      <c r="AO1691" s="22"/>
      <c r="AP1691" s="22"/>
      <c r="AQ1691" s="22"/>
      <c r="AR1691" s="22"/>
      <c r="AS1691" s="22"/>
      <c r="AT1691" s="22"/>
      <c r="AU1691" s="22"/>
    </row>
    <row r="1692" spans="39:41" ht="18" customHeight="1">
      <c r="AM1692" s="601"/>
      <c r="AN1692" s="10"/>
      <c r="AO1692" s="10"/>
    </row>
    <row r="1693" spans="39:47" ht="18" customHeight="1">
      <c r="AM1693" s="600" t="str">
        <f>+' -'!$E$22</f>
        <v>"В И Н З А В О Д"  А Д - гр. АСЕНОВГРАД</v>
      </c>
      <c r="AN1693" s="264"/>
      <c r="AO1693" s="22"/>
      <c r="AP1693" s="22"/>
      <c r="AQ1693" s="22"/>
      <c r="AR1693" s="22"/>
      <c r="AS1693" s="22"/>
      <c r="AT1693" s="22"/>
      <c r="AU1693" s="22"/>
    </row>
    <row r="1694" spans="39:47" ht="18" customHeight="1">
      <c r="AM1694" s="1173"/>
      <c r="AN1694" s="1174"/>
      <c r="AO1694" s="1175"/>
      <c r="AP1694" s="1175"/>
      <c r="AQ1694" s="1175"/>
      <c r="AR1694" s="1175"/>
      <c r="AS1694" s="1175"/>
      <c r="AT1694" s="1175"/>
      <c r="AU1694" s="1175"/>
    </row>
    <row r="1695" spans="39:47" ht="5.25" customHeight="1">
      <c r="AM1695" s="1177"/>
      <c r="AN1695" s="1177"/>
      <c r="AO1695" s="1177"/>
      <c r="AP1695" s="1177"/>
      <c r="AQ1695" s="1177"/>
      <c r="AR1695" s="1177"/>
      <c r="AS1695" s="1177"/>
      <c r="AT1695" s="1177"/>
      <c r="AU1695" s="1177"/>
    </row>
    <row r="1696" spans="39:58" ht="18" customHeight="1">
      <c r="AM1696" s="1176" t="s">
        <v>1938</v>
      </c>
      <c r="AN1696" s="1177"/>
      <c r="AO1696" s="1177"/>
      <c r="AP1696" s="1177"/>
      <c r="AQ1696" s="1177"/>
      <c r="AR1696" s="1177"/>
      <c r="AS1696" s="1177"/>
      <c r="AT1696" s="1177"/>
      <c r="AU1696" s="1177"/>
      <c r="BF1696" s="600" t="str">
        <f>+' -'!$E$21</f>
        <v>Програмата за финансов анализ е лицензирана на:</v>
      </c>
    </row>
    <row r="1697" spans="39:58" ht="18" customHeight="1">
      <c r="AM1697" s="765" t="str">
        <f>A3</f>
        <v>на  "ВИНЗАВОД"  АД - гр. Асеновград  към</v>
      </c>
      <c r="AN1697" s="1174"/>
      <c r="AO1697" s="1175"/>
      <c r="AP1697" s="1175"/>
      <c r="AQ1697" s="1175"/>
      <c r="AR1697" s="1175"/>
      <c r="AS1697" s="1175"/>
      <c r="AT1697" s="1175"/>
      <c r="AU1697" s="1175"/>
      <c r="BF1697" s="601"/>
    </row>
    <row r="1698" spans="38:58" ht="18" customHeight="1">
      <c r="AL1698" s="1191"/>
      <c r="AM1698" s="1192">
        <f>A4</f>
        <v>39813</v>
      </c>
      <c r="AN1698" s="1177"/>
      <c r="AO1698" s="1177"/>
      <c r="AP1698" s="1177"/>
      <c r="AQ1698" s="1177"/>
      <c r="AR1698" s="1177"/>
      <c r="AS1698" s="1177"/>
      <c r="AT1698" s="1177"/>
      <c r="AU1698" s="1177"/>
      <c r="BF1698" s="600" t="str">
        <f>+' -'!$E$22</f>
        <v>"В И Н З А В О Д"  А Д - гр. АСЕНОВГРАД</v>
      </c>
    </row>
    <row r="1699" spans="38:58" ht="18" customHeight="1" thickBot="1">
      <c r="AL1699" s="1191"/>
      <c r="AM1699" s="1192"/>
      <c r="AN1699" s="1177"/>
      <c r="AO1699" s="1177"/>
      <c r="AP1699" s="1177"/>
      <c r="AQ1699" s="1177"/>
      <c r="AR1699" s="1177"/>
      <c r="AS1699" s="1177"/>
      <c r="AT1699" s="1177"/>
      <c r="AU1699" s="768" t="s">
        <v>1610</v>
      </c>
      <c r="BF1699" s="600"/>
    </row>
    <row r="1700" spans="38:58" ht="18" customHeight="1">
      <c r="AL1700" s="1191"/>
      <c r="AM1700" s="769"/>
      <c r="AN1700" s="770"/>
      <c r="AO1700" s="771"/>
      <c r="AP1700" s="771"/>
      <c r="AQ1700" s="771"/>
      <c r="AR1700" s="772" t="str">
        <f>$D$7</f>
        <v>Текуща</v>
      </c>
      <c r="AS1700" s="773" t="str">
        <f>$E$7</f>
        <v>Предходна</v>
      </c>
      <c r="AT1700" s="774" t="s">
        <v>1611</v>
      </c>
      <c r="AU1700" s="775"/>
      <c r="BF1700" s="600"/>
    </row>
    <row r="1701" spans="38:58" ht="18" customHeight="1">
      <c r="AL1701" s="1191"/>
      <c r="AM1701" s="776" t="s">
        <v>1612</v>
      </c>
      <c r="AN1701" s="777" t="s">
        <v>1613</v>
      </c>
      <c r="AO1701" s="778"/>
      <c r="AP1701" s="778"/>
      <c r="AQ1701" s="778"/>
      <c r="AR1701" s="779" t="str">
        <f>$D$8</f>
        <v>година</v>
      </c>
      <c r="AS1701" s="779" t="str">
        <f>$E$8</f>
        <v>година</v>
      </c>
      <c r="AT1701" s="780"/>
      <c r="AU1701" s="781"/>
      <c r="BF1701" s="600"/>
    </row>
    <row r="1702" spans="38:58" ht="18" customHeight="1" thickBot="1">
      <c r="AL1702" s="1191"/>
      <c r="AM1702" s="782"/>
      <c r="AN1702" s="783"/>
      <c r="AO1702" s="784"/>
      <c r="AP1702" s="784"/>
      <c r="AQ1702" s="784"/>
      <c r="AR1702" s="785" t="s">
        <v>1614</v>
      </c>
      <c r="AS1702" s="785" t="s">
        <v>1614</v>
      </c>
      <c r="AT1702" s="786" t="s">
        <v>1614</v>
      </c>
      <c r="AU1702" s="787" t="s">
        <v>1615</v>
      </c>
      <c r="BF1702" s="600"/>
    </row>
    <row r="1703" spans="38:58" ht="18" customHeight="1">
      <c r="AL1703" s="1191"/>
      <c r="AM1703" s="788">
        <v>1</v>
      </c>
      <c r="AN1703" s="999" t="s">
        <v>2052</v>
      </c>
      <c r="AO1703" s="999"/>
      <c r="AP1703" s="999"/>
      <c r="AQ1703" s="999"/>
      <c r="AR1703" s="93">
        <f>AR579</f>
        <v>21489</v>
      </c>
      <c r="AS1703" s="93">
        <f>AS579</f>
        <v>19317</v>
      </c>
      <c r="AT1703" s="94">
        <f aca="true" t="shared" si="73" ref="AT1703:AT1731">AR1703-AS1703</f>
        <v>2172</v>
      </c>
      <c r="AU1703" s="95">
        <f aca="true" t="shared" si="74" ref="AU1703:AU1721">IF(AND(AS1703=0,AR1703=0),0,IF(AS1703&lt;&gt;0,AT1703/ABS(AS1703),IF(AS1703=0,AT1703/ABS(AR1703),FLASE)))</f>
        <v>0.11243981984780245</v>
      </c>
      <c r="BF1703" s="600"/>
    </row>
    <row r="1704" spans="38:58" ht="18" customHeight="1">
      <c r="AL1704" s="1191"/>
      <c r="AM1704" s="788">
        <v>2</v>
      </c>
      <c r="AN1704" s="999" t="s">
        <v>2053</v>
      </c>
      <c r="AO1704" s="999"/>
      <c r="AP1704" s="999"/>
      <c r="AQ1704" s="999"/>
      <c r="AR1704" s="93">
        <f>AR683</f>
        <v>19685</v>
      </c>
      <c r="AS1704" s="93">
        <f>AS683</f>
        <v>17230</v>
      </c>
      <c r="AT1704" s="96">
        <f t="shared" si="73"/>
        <v>2455</v>
      </c>
      <c r="AU1704" s="95">
        <f t="shared" si="74"/>
        <v>0.1424840394660476</v>
      </c>
      <c r="BF1704" s="600"/>
    </row>
    <row r="1705" spans="38:58" ht="18" customHeight="1">
      <c r="AL1705" s="1191"/>
      <c r="AM1705" s="788">
        <v>3</v>
      </c>
      <c r="AN1705" s="999" t="s">
        <v>2385</v>
      </c>
      <c r="AO1705" s="999"/>
      <c r="AP1705" s="999"/>
      <c r="AQ1705" s="999"/>
      <c r="AR1705" s="93">
        <f>AR571</f>
        <v>13840</v>
      </c>
      <c r="AS1705" s="93">
        <f>AS571</f>
        <v>13752</v>
      </c>
      <c r="AT1705" s="94">
        <f t="shared" si="73"/>
        <v>88</v>
      </c>
      <c r="AU1705" s="95">
        <f t="shared" si="74"/>
        <v>0.006399069226294357</v>
      </c>
      <c r="BF1705" s="600"/>
    </row>
    <row r="1706" spans="38:58" ht="18" customHeight="1">
      <c r="AL1706" s="1191"/>
      <c r="AM1706" s="788">
        <v>4</v>
      </c>
      <c r="AN1706" s="1199" t="s">
        <v>2054</v>
      </c>
      <c r="AO1706" s="1200"/>
      <c r="AP1706" s="1200"/>
      <c r="AQ1706" s="1201"/>
      <c r="AR1706" s="97">
        <f>AR797</f>
        <v>7649</v>
      </c>
      <c r="AS1706" s="97">
        <f>AS797</f>
        <v>5565</v>
      </c>
      <c r="AT1706" s="96">
        <f t="shared" si="73"/>
        <v>2084</v>
      </c>
      <c r="AU1706" s="95">
        <f t="shared" si="74"/>
        <v>0.37448337825696315</v>
      </c>
      <c r="BF1706" s="600"/>
    </row>
    <row r="1707" spans="38:58" ht="18" customHeight="1">
      <c r="AL1707" s="1191"/>
      <c r="AM1707" s="788">
        <v>5</v>
      </c>
      <c r="AN1707" s="1199" t="s">
        <v>65</v>
      </c>
      <c r="AO1707" s="1200"/>
      <c r="AP1707" s="1200"/>
      <c r="AQ1707" s="1201"/>
      <c r="AR1707" s="97">
        <f>AR1395</f>
        <v>0</v>
      </c>
      <c r="AS1707" s="97">
        <f>AT1395</f>
        <v>0</v>
      </c>
      <c r="AT1707" s="96">
        <f t="shared" si="73"/>
        <v>0</v>
      </c>
      <c r="AU1707" s="95">
        <f t="shared" si="74"/>
        <v>0</v>
      </c>
      <c r="BF1707" s="600"/>
    </row>
    <row r="1708" spans="38:58" ht="18" customHeight="1">
      <c r="AL1708" s="1191"/>
      <c r="AM1708" s="788">
        <v>6</v>
      </c>
      <c r="AN1708" s="999" t="s">
        <v>1853</v>
      </c>
      <c r="AO1708" s="999"/>
      <c r="AP1708" s="999"/>
      <c r="AQ1708" s="999"/>
      <c r="AR1708" s="93">
        <f>AR567</f>
        <v>10017</v>
      </c>
      <c r="AS1708" s="93">
        <f>AS567</f>
        <v>10017</v>
      </c>
      <c r="AT1708" s="94">
        <f t="shared" si="73"/>
        <v>0</v>
      </c>
      <c r="AU1708" s="95">
        <f t="shared" si="74"/>
        <v>0</v>
      </c>
      <c r="BF1708" s="600"/>
    </row>
    <row r="1709" spans="38:58" ht="18" customHeight="1">
      <c r="AL1709" s="1191"/>
      <c r="AM1709" s="788">
        <v>7</v>
      </c>
      <c r="AN1709" s="999" t="s">
        <v>2055</v>
      </c>
      <c r="AO1709" s="999"/>
      <c r="AP1709" s="999"/>
      <c r="AQ1709" s="999"/>
      <c r="AR1709" s="93">
        <f>AR577</f>
        <v>12049</v>
      </c>
      <c r="AS1709" s="93">
        <f>AS577</f>
        <v>11342</v>
      </c>
      <c r="AT1709" s="94">
        <f t="shared" si="73"/>
        <v>707</v>
      </c>
      <c r="AU1709" s="95">
        <f t="shared" si="74"/>
        <v>0.06233468524069829</v>
      </c>
      <c r="BF1709" s="600"/>
    </row>
    <row r="1710" spans="38:58" ht="18" customHeight="1">
      <c r="AL1710" s="1191"/>
      <c r="AM1710" s="788">
        <v>8</v>
      </c>
      <c r="AN1710" s="999" t="s">
        <v>2389</v>
      </c>
      <c r="AO1710" s="999"/>
      <c r="AP1710" s="999"/>
      <c r="AQ1710" s="999"/>
      <c r="AR1710" s="93">
        <f>AP659</f>
        <v>8680</v>
      </c>
      <c r="AS1710" s="93">
        <f>AR659</f>
        <v>6991</v>
      </c>
      <c r="AT1710" s="94">
        <f t="shared" si="73"/>
        <v>1689</v>
      </c>
      <c r="AU1710" s="95">
        <f t="shared" si="74"/>
        <v>0.24159633814904877</v>
      </c>
      <c r="BF1710" s="600"/>
    </row>
    <row r="1711" spans="38:58" ht="18" customHeight="1">
      <c r="AL1711" s="1191"/>
      <c r="AM1711" s="788">
        <v>9</v>
      </c>
      <c r="AN1711" s="999" t="s">
        <v>2390</v>
      </c>
      <c r="AO1711" s="999"/>
      <c r="AP1711" s="999"/>
      <c r="AQ1711" s="999"/>
      <c r="AR1711" s="93">
        <f>AP666</f>
        <v>12809</v>
      </c>
      <c r="AS1711" s="93">
        <f>AR666</f>
        <v>12326</v>
      </c>
      <c r="AT1711" s="96">
        <f t="shared" si="73"/>
        <v>483</v>
      </c>
      <c r="AU1711" s="95">
        <f t="shared" si="74"/>
        <v>0.03918546162583158</v>
      </c>
      <c r="BF1711" s="600"/>
    </row>
    <row r="1712" spans="38:58" ht="18" customHeight="1">
      <c r="AL1712" s="1191"/>
      <c r="AM1712" s="788">
        <v>10</v>
      </c>
      <c r="AN1712" s="999" t="s">
        <v>739</v>
      </c>
      <c r="AO1712" s="999"/>
      <c r="AP1712" s="999"/>
      <c r="AQ1712" s="999"/>
      <c r="AR1712" s="93">
        <f>AP667</f>
        <v>7219</v>
      </c>
      <c r="AS1712" s="93">
        <f>AR667</f>
        <v>6572</v>
      </c>
      <c r="AT1712" s="96">
        <f t="shared" si="73"/>
        <v>647</v>
      </c>
      <c r="AU1712" s="95">
        <f t="shared" si="74"/>
        <v>0.09844796104686548</v>
      </c>
      <c r="BF1712" s="600"/>
    </row>
    <row r="1713" spans="38:58" ht="18" customHeight="1">
      <c r="AL1713" s="1191"/>
      <c r="AM1713" s="788">
        <v>11</v>
      </c>
      <c r="AN1713" s="999" t="s">
        <v>968</v>
      </c>
      <c r="AO1713" s="999"/>
      <c r="AP1713" s="999"/>
      <c r="AQ1713" s="999"/>
      <c r="AR1713" s="93">
        <f>AP670</f>
        <v>125</v>
      </c>
      <c r="AS1713" s="93">
        <f>AR670</f>
        <v>239</v>
      </c>
      <c r="AT1713" s="96">
        <f t="shared" si="73"/>
        <v>-114</v>
      </c>
      <c r="AU1713" s="95">
        <f t="shared" si="74"/>
        <v>-0.4769874476987448</v>
      </c>
      <c r="BF1713" s="600"/>
    </row>
    <row r="1714" spans="38:58" ht="18" customHeight="1">
      <c r="AL1714" s="1191"/>
      <c r="AM1714" s="788">
        <v>12</v>
      </c>
      <c r="AN1714" s="999" t="s">
        <v>66</v>
      </c>
      <c r="AO1714" s="999"/>
      <c r="AP1714" s="999"/>
      <c r="AQ1714" s="999"/>
      <c r="AR1714" s="97">
        <f>AR726</f>
        <v>5441</v>
      </c>
      <c r="AS1714" s="97">
        <f>AS726</f>
        <v>5494</v>
      </c>
      <c r="AT1714" s="96">
        <f t="shared" si="73"/>
        <v>-53</v>
      </c>
      <c r="AU1714" s="95">
        <f t="shared" si="74"/>
        <v>-0.009646887513651257</v>
      </c>
      <c r="BF1714" s="600"/>
    </row>
    <row r="1715" spans="38:58" ht="18" customHeight="1">
      <c r="AL1715" s="1191"/>
      <c r="AM1715" s="788">
        <v>13</v>
      </c>
      <c r="AN1715" s="1199" t="s">
        <v>2056</v>
      </c>
      <c r="AO1715" s="1200"/>
      <c r="AP1715" s="1200"/>
      <c r="AQ1715" s="1201"/>
      <c r="AR1715" s="97">
        <f>AR794</f>
        <v>6605</v>
      </c>
      <c r="AS1715" s="97">
        <f>AS794</f>
        <v>4462</v>
      </c>
      <c r="AT1715" s="96">
        <f t="shared" si="73"/>
        <v>2143</v>
      </c>
      <c r="AU1715" s="95">
        <f t="shared" si="74"/>
        <v>0.4802779022859704</v>
      </c>
      <c r="BF1715" s="600"/>
    </row>
    <row r="1716" spans="38:58" ht="18" customHeight="1">
      <c r="AL1716" s="1191"/>
      <c r="AM1716" s="788">
        <v>14</v>
      </c>
      <c r="AN1716" s="1199" t="s">
        <v>249</v>
      </c>
      <c r="AO1716" s="1200"/>
      <c r="AP1716" s="1200"/>
      <c r="AQ1716" s="1201"/>
      <c r="AR1716" s="96">
        <f>AR793</f>
        <v>5845</v>
      </c>
      <c r="AS1716" s="96">
        <f>AS793</f>
        <v>3478</v>
      </c>
      <c r="AT1716" s="96">
        <f t="shared" si="73"/>
        <v>2367</v>
      </c>
      <c r="AU1716" s="95">
        <f t="shared" si="74"/>
        <v>0.68056354226567</v>
      </c>
      <c r="BF1716" s="600"/>
    </row>
    <row r="1717" spans="38:58" ht="18" customHeight="1">
      <c r="AL1717" s="1191"/>
      <c r="AM1717" s="788">
        <v>15</v>
      </c>
      <c r="AN1717" s="999" t="s">
        <v>2386</v>
      </c>
      <c r="AO1717" s="999"/>
      <c r="AP1717" s="999"/>
      <c r="AQ1717" s="999"/>
      <c r="AR1717" s="1202">
        <f>AR678</f>
        <v>5556</v>
      </c>
      <c r="AS1717" s="1202">
        <f>AS678</f>
        <v>3203</v>
      </c>
      <c r="AT1717" s="96">
        <f t="shared" si="73"/>
        <v>2353</v>
      </c>
      <c r="AU1717" s="95">
        <f t="shared" si="74"/>
        <v>0.7346237901966906</v>
      </c>
      <c r="BF1717" s="600"/>
    </row>
    <row r="1718" spans="38:58" ht="18" customHeight="1">
      <c r="AL1718" s="1191"/>
      <c r="AM1718" s="788">
        <v>16</v>
      </c>
      <c r="AN1718" s="999" t="s">
        <v>257</v>
      </c>
      <c r="AO1718" s="999"/>
      <c r="AP1718" s="999"/>
      <c r="AQ1718" s="999"/>
      <c r="AR1718" s="93">
        <f>AR730</f>
        <v>760</v>
      </c>
      <c r="AS1718" s="93">
        <f>AS730</f>
        <v>984</v>
      </c>
      <c r="AT1718" s="96">
        <f t="shared" si="73"/>
        <v>-224</v>
      </c>
      <c r="AU1718" s="95">
        <f t="shared" si="74"/>
        <v>-0.22764227642276422</v>
      </c>
      <c r="BF1718" s="600"/>
    </row>
    <row r="1719" spans="38:58" ht="18" customHeight="1">
      <c r="AL1719" s="1191"/>
      <c r="AM1719" s="788">
        <v>17</v>
      </c>
      <c r="AN1719" s="999" t="s">
        <v>258</v>
      </c>
      <c r="AO1719" s="999"/>
      <c r="AP1719" s="999"/>
      <c r="AQ1719" s="999"/>
      <c r="AR1719" s="94">
        <f>AR864</f>
        <v>407</v>
      </c>
      <c r="AS1719" s="94">
        <f>AS864</f>
        <v>523</v>
      </c>
      <c r="AT1719" s="96">
        <f t="shared" si="73"/>
        <v>-116</v>
      </c>
      <c r="AU1719" s="95">
        <f t="shared" si="74"/>
        <v>-0.22179732313575526</v>
      </c>
      <c r="BF1719" s="600"/>
    </row>
    <row r="1720" spans="38:58" ht="18" customHeight="1">
      <c r="AL1720" s="1191"/>
      <c r="AM1720" s="788">
        <v>18</v>
      </c>
      <c r="AN1720" s="999" t="s">
        <v>250</v>
      </c>
      <c r="AO1720" s="999"/>
      <c r="AP1720" s="999"/>
      <c r="AQ1720" s="999"/>
      <c r="AR1720" s="94">
        <f>AR861</f>
        <v>5</v>
      </c>
      <c r="AS1720" s="94">
        <f>AS861</f>
        <v>0</v>
      </c>
      <c r="AT1720" s="96">
        <f t="shared" si="73"/>
        <v>5</v>
      </c>
      <c r="AU1720" s="95">
        <f t="shared" si="74"/>
        <v>1</v>
      </c>
      <c r="BF1720" s="600"/>
    </row>
    <row r="1721" spans="38:58" ht="18" customHeight="1">
      <c r="AL1721" s="1191"/>
      <c r="AM1721" s="788">
        <v>19</v>
      </c>
      <c r="AN1721" s="1203" t="s">
        <v>2057</v>
      </c>
      <c r="AO1721" s="999"/>
      <c r="AP1721" s="999"/>
      <c r="AQ1721" s="999"/>
      <c r="AR1721" s="94">
        <f>AR867+AR868</f>
        <v>144</v>
      </c>
      <c r="AS1721" s="94">
        <f>AS867+AS868</f>
        <v>98</v>
      </c>
      <c r="AT1721" s="96">
        <f t="shared" si="73"/>
        <v>46</v>
      </c>
      <c r="AU1721" s="95">
        <f t="shared" si="74"/>
        <v>0.46938775510204084</v>
      </c>
      <c r="BF1721" s="600"/>
    </row>
    <row r="1722" spans="38:58" ht="18" customHeight="1">
      <c r="AL1722" s="1191"/>
      <c r="AM1722" s="788">
        <v>20</v>
      </c>
      <c r="AN1722" s="1199" t="s">
        <v>2058</v>
      </c>
      <c r="AO1722" s="1200"/>
      <c r="AP1722" s="1200"/>
      <c r="AQ1722" s="1201"/>
      <c r="AR1722" s="96">
        <f>AR889</f>
        <v>6688</v>
      </c>
      <c r="AS1722" s="96">
        <f>AS889</f>
        <v>7508</v>
      </c>
      <c r="AT1722" s="96">
        <f t="shared" si="73"/>
        <v>-820</v>
      </c>
      <c r="AU1722" s="95">
        <f aca="true" t="shared" si="75" ref="AU1722:AU1731">IF(AND(AS1722=0,AR1722=0),0,IF(AS1722&lt;&gt;0,AT1722/ABS(AS1722),IF(AS1722=0,AT1722/ABS(AR1722),FLASE)))</f>
        <v>-0.10921683537559936</v>
      </c>
      <c r="BF1722" s="600"/>
    </row>
    <row r="1723" spans="38:58" ht="18" customHeight="1">
      <c r="AL1723" s="1191"/>
      <c r="AM1723" s="788">
        <v>21</v>
      </c>
      <c r="AN1723" s="1199" t="s">
        <v>2059</v>
      </c>
      <c r="AO1723" s="1200"/>
      <c r="AP1723" s="1200"/>
      <c r="AQ1723" s="1201"/>
      <c r="AR1723" s="96">
        <f aca="true" t="shared" si="76" ref="AR1723:AS1728">AR990</f>
        <v>6945</v>
      </c>
      <c r="AS1723" s="96">
        <f t="shared" si="76"/>
        <v>7831</v>
      </c>
      <c r="AT1723" s="96">
        <f t="shared" si="73"/>
        <v>-886</v>
      </c>
      <c r="AU1723" s="95">
        <f t="shared" si="75"/>
        <v>-0.11314008428042395</v>
      </c>
      <c r="BF1723" s="600"/>
    </row>
    <row r="1724" spans="38:58" ht="18" customHeight="1">
      <c r="AL1724" s="1191"/>
      <c r="AM1724" s="788">
        <v>22</v>
      </c>
      <c r="AN1724" s="1199" t="s">
        <v>2060</v>
      </c>
      <c r="AO1724" s="1200"/>
      <c r="AP1724" s="1200"/>
      <c r="AQ1724" s="1201"/>
      <c r="AR1724" s="96">
        <f t="shared" si="76"/>
        <v>6807</v>
      </c>
      <c r="AS1724" s="96">
        <f t="shared" si="76"/>
        <v>7374</v>
      </c>
      <c r="AT1724" s="96">
        <f t="shared" si="73"/>
        <v>-567</v>
      </c>
      <c r="AU1724" s="95">
        <f t="shared" si="75"/>
        <v>-0.07689178193653377</v>
      </c>
      <c r="BF1724" s="600"/>
    </row>
    <row r="1725" spans="38:58" ht="18" customHeight="1">
      <c r="AL1725" s="1191"/>
      <c r="AM1725" s="788">
        <v>23</v>
      </c>
      <c r="AN1725" s="1199" t="s">
        <v>2061</v>
      </c>
      <c r="AO1725" s="1200"/>
      <c r="AP1725" s="1200"/>
      <c r="AQ1725" s="1201"/>
      <c r="AR1725" s="96">
        <f t="shared" si="76"/>
        <v>138</v>
      </c>
      <c r="AS1725" s="96">
        <f t="shared" si="76"/>
        <v>457</v>
      </c>
      <c r="AT1725" s="96">
        <f t="shared" si="73"/>
        <v>-319</v>
      </c>
      <c r="AU1725" s="95">
        <f t="shared" si="75"/>
        <v>-0.6980306345733042</v>
      </c>
      <c r="BF1725" s="600"/>
    </row>
    <row r="1726" spans="38:58" ht="18" customHeight="1">
      <c r="AL1726" s="1191"/>
      <c r="AM1726" s="788">
        <v>24</v>
      </c>
      <c r="AN1726" s="1199" t="s">
        <v>2062</v>
      </c>
      <c r="AO1726" s="1200"/>
      <c r="AP1726" s="1200"/>
      <c r="AQ1726" s="1201"/>
      <c r="AR1726" s="96">
        <f t="shared" si="76"/>
        <v>243</v>
      </c>
      <c r="AS1726" s="96">
        <f t="shared" si="76"/>
        <v>667</v>
      </c>
      <c r="AT1726" s="96">
        <f t="shared" si="73"/>
        <v>-424</v>
      </c>
      <c r="AU1726" s="95">
        <f t="shared" si="75"/>
        <v>-0.6356821589205397</v>
      </c>
      <c r="BF1726" s="600"/>
    </row>
    <row r="1727" spans="38:58" ht="18" customHeight="1">
      <c r="AL1727" s="1191"/>
      <c r="AM1727" s="788">
        <v>25</v>
      </c>
      <c r="AN1727" s="1204" t="s">
        <v>2063</v>
      </c>
      <c r="AO1727" s="1200"/>
      <c r="AP1727" s="1200"/>
      <c r="AQ1727" s="1201"/>
      <c r="AR1727" s="96">
        <f t="shared" si="76"/>
        <v>138</v>
      </c>
      <c r="AS1727" s="96">
        <f t="shared" si="76"/>
        <v>457</v>
      </c>
      <c r="AT1727" s="96">
        <f t="shared" si="73"/>
        <v>-319</v>
      </c>
      <c r="AU1727" s="95">
        <f t="shared" si="75"/>
        <v>-0.6980306345733042</v>
      </c>
      <c r="BF1727" s="600"/>
    </row>
    <row r="1728" spans="38:58" ht="18" customHeight="1">
      <c r="AL1728" s="1191"/>
      <c r="AM1728" s="788">
        <v>26</v>
      </c>
      <c r="AN1728" s="1204" t="s">
        <v>2064</v>
      </c>
      <c r="AO1728" s="1200"/>
      <c r="AP1728" s="1200"/>
      <c r="AQ1728" s="1201"/>
      <c r="AR1728" s="96">
        <f t="shared" si="76"/>
        <v>103</v>
      </c>
      <c r="AS1728" s="96">
        <f t="shared" si="76"/>
        <v>425</v>
      </c>
      <c r="AT1728" s="96">
        <f t="shared" si="73"/>
        <v>-322</v>
      </c>
      <c r="AU1728" s="95">
        <f t="shared" si="75"/>
        <v>-0.7576470588235295</v>
      </c>
      <c r="BF1728" s="600"/>
    </row>
    <row r="1729" spans="38:58" ht="18" customHeight="1">
      <c r="AL1729" s="1191"/>
      <c r="AM1729" s="788">
        <v>27</v>
      </c>
      <c r="AN1729" s="1199" t="s">
        <v>2065</v>
      </c>
      <c r="AO1729" s="1200"/>
      <c r="AP1729" s="1200"/>
      <c r="AQ1729" s="1201"/>
      <c r="AR1729" s="96">
        <f>AR997</f>
        <v>103</v>
      </c>
      <c r="AS1729" s="96">
        <f>AS997</f>
        <v>425</v>
      </c>
      <c r="AT1729" s="96">
        <f>AR1729-AS1729</f>
        <v>-322</v>
      </c>
      <c r="AU1729" s="95">
        <f>IF(AND(AS1729=0,AR1729=0),0,IF(AS1729&lt;&gt;0,AT1729/ABS(AS1729),IF(AS1729=0,AT1729/ABS(AR1729),FLASE)))</f>
        <v>-0.7576470588235295</v>
      </c>
      <c r="BF1729" s="600"/>
    </row>
    <row r="1730" spans="38:58" ht="18" customHeight="1">
      <c r="AL1730" s="1191"/>
      <c r="AM1730" s="788">
        <v>28</v>
      </c>
      <c r="AN1730" s="1199" t="s">
        <v>2066</v>
      </c>
      <c r="AO1730" s="1200"/>
      <c r="AP1730" s="1200"/>
      <c r="AQ1730" s="1201"/>
      <c r="AR1730" s="96">
        <f>AS1670</f>
        <v>0</v>
      </c>
      <c r="AS1730" s="96">
        <f>AT1670</f>
        <v>0</v>
      </c>
      <c r="AT1730" s="96">
        <f>AR1730-AS1730</f>
        <v>0</v>
      </c>
      <c r="AU1730" s="95">
        <f>IF(AND(AS1730=0,AR1730=0),0,IF(AS1730&lt;&gt;0,AT1730/ABS(AS1730),IF(AS1730=0,AT1730/ABS(AR1730),FLASE)))</f>
        <v>0</v>
      </c>
      <c r="BF1730" s="600"/>
    </row>
    <row r="1731" spans="38:58" ht="18" customHeight="1">
      <c r="AL1731" s="1191"/>
      <c r="AM1731" s="788">
        <v>29</v>
      </c>
      <c r="AN1731" s="1199" t="s">
        <v>1856</v>
      </c>
      <c r="AO1731" s="1200"/>
      <c r="AP1731" s="1200"/>
      <c r="AQ1731" s="1201"/>
      <c r="AR1731" s="97">
        <f>AR1393</f>
        <v>3720</v>
      </c>
      <c r="AS1731" s="97">
        <f>AT1393</f>
        <v>3310</v>
      </c>
      <c r="AT1731" s="96">
        <f t="shared" si="73"/>
        <v>410</v>
      </c>
      <c r="AU1731" s="95">
        <f t="shared" si="75"/>
        <v>0.12386706948640483</v>
      </c>
      <c r="BF1731" s="600"/>
    </row>
    <row r="1732" spans="38:58" ht="18" customHeight="1">
      <c r="AL1732" s="1191"/>
      <c r="AM1732" s="788">
        <v>30</v>
      </c>
      <c r="AN1732" s="1205" t="str">
        <f>IF($R$294&gt;=0,"Положителен","Отрицателен")</f>
        <v>Отрицателен</v>
      </c>
      <c r="AO1732" s="1206" t="str">
        <f>AP1622</f>
        <v>паричен поток от оперативна дейност</v>
      </c>
      <c r="AP1732" s="146"/>
      <c r="AQ1732" s="793"/>
      <c r="AR1732" s="97">
        <f>AU1622</f>
        <v>352</v>
      </c>
      <c r="AS1732" s="97"/>
      <c r="AT1732" s="96"/>
      <c r="AU1732" s="95"/>
      <c r="BF1732" s="600"/>
    </row>
    <row r="1733" spans="38:58" ht="18" customHeight="1">
      <c r="AL1733" s="1191"/>
      <c r="AM1733" s="788">
        <v>31</v>
      </c>
      <c r="AN1733" s="1092" t="str">
        <f>IF($R$308&gt;=0,"Положителен","Отрицателен")</f>
        <v>Отрицателен</v>
      </c>
      <c r="AO1733" s="1207" t="str">
        <f>AP1631</f>
        <v>паричен поток от инвестиционна дейност</v>
      </c>
      <c r="AP1733" s="146"/>
      <c r="AQ1733" s="793"/>
      <c r="AR1733" s="97">
        <f>AU1631</f>
        <v>246</v>
      </c>
      <c r="AS1733" s="97"/>
      <c r="AT1733" s="96"/>
      <c r="AU1733" s="95"/>
      <c r="BF1733" s="600"/>
    </row>
    <row r="1734" spans="38:58" ht="18" customHeight="1">
      <c r="AL1734" s="1191"/>
      <c r="AM1734" s="788">
        <v>32</v>
      </c>
      <c r="AN1734" s="1092" t="str">
        <f>IF($R$328&gt;=0,"Положителен","Отрицателен")</f>
        <v>Положителен</v>
      </c>
      <c r="AO1734" s="1208" t="s">
        <v>681</v>
      </c>
      <c r="AP1734" s="792"/>
      <c r="AQ1734" s="793"/>
      <c r="AR1734" s="97">
        <f>AU1639</f>
        <v>484</v>
      </c>
      <c r="AS1734" s="97"/>
      <c r="AT1734" s="96"/>
      <c r="AU1734" s="95"/>
      <c r="BF1734" s="600"/>
    </row>
    <row r="1735" spans="38:58" ht="18" customHeight="1" thickBot="1">
      <c r="AL1735" s="1191"/>
      <c r="AM1735" s="972">
        <v>33</v>
      </c>
      <c r="AN1735" s="1225" t="s">
        <v>358</v>
      </c>
      <c r="AO1735" s="1380"/>
      <c r="AP1735" s="1380"/>
      <c r="AQ1735" s="1381"/>
      <c r="AR1735" s="921">
        <f>AR1162/AR1161*100</f>
        <v>98.51691864650827</v>
      </c>
      <c r="AS1735" s="921">
        <f>AS1162/AS1161*100</f>
        <v>94.57285148767718</v>
      </c>
      <c r="AT1735" s="921">
        <f>AR1735-AS1735</f>
        <v>3.944067158831089</v>
      </c>
      <c r="AU1735" s="900">
        <f>IF(AND(AS1735=0,AR1735=0),0,IF(AS1735&lt;&gt;0,AT1735/ABS(AS1735),IF(AS1735=0,AT1735/ABS(AR1735),FLASE)))</f>
        <v>0.0417040101550179</v>
      </c>
      <c r="BF1735" s="600"/>
    </row>
    <row r="1736" spans="38:58" ht="6.75" customHeight="1">
      <c r="AL1736" s="1191"/>
      <c r="AM1736" s="1192"/>
      <c r="AN1736" s="1177"/>
      <c r="AO1736" s="1177"/>
      <c r="AP1736" s="1177"/>
      <c r="AQ1736" s="1177"/>
      <c r="AR1736" s="1177"/>
      <c r="AS1736" s="1177"/>
      <c r="AT1736" s="1177"/>
      <c r="AU1736" s="1177"/>
      <c r="BF1736" s="600"/>
    </row>
    <row r="1737" spans="39:47" ht="21" customHeight="1">
      <c r="AM1737" s="1179">
        <v>1</v>
      </c>
      <c r="AN1737" s="666" t="s">
        <v>949</v>
      </c>
      <c r="AO1737" s="666"/>
      <c r="AP1737" s="820"/>
      <c r="AQ1737" s="760"/>
      <c r="AR1737" s="666"/>
      <c r="AS1737" s="760" t="str">
        <f>IF($AR$577&gt;0,"положителният","отрицателният")</f>
        <v>положителният</v>
      </c>
      <c r="AT1737" s="760"/>
      <c r="AU1737" s="816" t="s">
        <v>950</v>
      </c>
    </row>
    <row r="1738" spans="39:47" ht="21" customHeight="1">
      <c r="AM1738" s="666" t="s">
        <v>1264</v>
      </c>
      <c r="AN1738" s="666"/>
      <c r="AO1738" s="666"/>
      <c r="AP1738" s="820"/>
      <c r="AQ1738" s="816">
        <f>ABS($AR$577)</f>
        <v>12049</v>
      </c>
      <c r="AR1738" s="666" t="s">
        <v>953</v>
      </c>
      <c r="AS1738" s="666"/>
      <c r="AT1738" s="666"/>
      <c r="AU1738" s="666"/>
    </row>
    <row r="1739" spans="39:47" ht="21" customHeight="1">
      <c r="AM1739" s="666" t="s">
        <v>954</v>
      </c>
      <c r="AN1739" s="666"/>
      <c r="AO1739" s="666"/>
      <c r="AP1739" s="820"/>
      <c r="AQ1739" s="760"/>
      <c r="AR1739" s="760" t="str">
        <f>IF($AR$577&gt;0,"са    повече    от","са   по-малко   от")</f>
        <v>са    повече    от</v>
      </c>
      <c r="AS1739" s="760"/>
      <c r="AT1739" s="666" t="s">
        <v>1134</v>
      </c>
      <c r="AU1739" s="666"/>
    </row>
    <row r="1740" spans="39:47" ht="21" customHeight="1">
      <c r="AM1740" s="666" t="s">
        <v>2394</v>
      </c>
      <c r="AN1740" s="666"/>
      <c r="AO1740" s="666"/>
      <c r="AP1740" s="820"/>
      <c r="AQ1740" s="760"/>
      <c r="AR1740" s="666"/>
      <c r="AS1740" s="666"/>
      <c r="AT1740" s="666"/>
      <c r="AU1740" s="666"/>
    </row>
    <row r="1741" spans="39:47" ht="21" customHeight="1">
      <c r="AM1741" s="666" t="s">
        <v>332</v>
      </c>
      <c r="AN1741" s="816" t="str">
        <f>IF($AR$577&gt;=0,"добро","недобро")</f>
        <v>добро</v>
      </c>
      <c r="AO1741" s="228" t="s">
        <v>2296</v>
      </c>
      <c r="AP1741" s="666"/>
      <c r="AQ1741" s="666"/>
      <c r="AR1741" s="666"/>
      <c r="AS1741" s="666"/>
      <c r="AT1741" s="666"/>
      <c r="AU1741" s="666"/>
    </row>
    <row r="1742" spans="39:47" ht="21" customHeight="1">
      <c r="AM1742" s="666"/>
      <c r="AN1742" s="666" t="str">
        <f>IF($AR$577&lt;0,"     В конкретния случай липсата  на  нетен оборотен (работен)  капитал  предполага:","     В  конкретния  случай   нетният  оборотен (работен)  капитал  предполага:")</f>
        <v>     В  конкретния  случай   нетният  оборотен (работен)  капитал  предполага:</v>
      </c>
      <c r="AO1742" s="666"/>
      <c r="AP1742" s="820"/>
      <c r="AQ1742" s="760"/>
      <c r="AR1742" s="666"/>
      <c r="AS1742" s="666"/>
      <c r="AT1742" s="666"/>
      <c r="AU1742" s="666"/>
    </row>
    <row r="1743" spans="39:47" ht="21" customHeight="1">
      <c r="AM1743" s="666"/>
      <c r="AN1743" s="228" t="str">
        <f>IF($AR$577&gt;=0,"Доверие от страна на кредиторите ;","Недоверие от страна на кредиторите ;")</f>
        <v>Доверие от страна на кредиторите ;</v>
      </c>
      <c r="AO1743" s="666"/>
      <c r="AP1743" s="820"/>
      <c r="AQ1743" s="760"/>
      <c r="AR1743" s="666"/>
      <c r="AS1743" s="760"/>
      <c r="AT1743" s="666"/>
      <c r="AU1743" s="666"/>
    </row>
    <row r="1744" spans="39:47" ht="21" customHeight="1">
      <c r="AM1744" s="666"/>
      <c r="AN1744" s="228" t="str">
        <f>IF($AR$577&gt;=0,"Стабилно финансово положение","Критично финансово положение")</f>
        <v>Стабилно финансово положение</v>
      </c>
      <c r="AO1744" s="760"/>
      <c r="AP1744" s="828"/>
      <c r="AQ1744" s="228">
        <f>IF($AR$577&gt;=0,"",", което лесно може да доведе до фалит.")</f>
      </c>
      <c r="AR1744" s="666"/>
      <c r="AS1744" s="666"/>
      <c r="AT1744" s="666"/>
      <c r="AU1744" s="666"/>
    </row>
    <row r="1745" spans="39:47" ht="21" customHeight="1">
      <c r="AM1745" s="986">
        <v>2</v>
      </c>
      <c r="AN1745" s="1189" t="s">
        <v>2395</v>
      </c>
      <c r="AO1745" s="666"/>
      <c r="AP1745" s="666"/>
      <c r="AQ1745" s="666"/>
      <c r="AR1745" s="666"/>
      <c r="AS1745" s="666"/>
      <c r="AT1745" s="666"/>
      <c r="AU1745" s="666"/>
    </row>
    <row r="1746" spans="39:47" ht="21" customHeight="1">
      <c r="AM1746" s="666" t="s">
        <v>1339</v>
      </c>
      <c r="AN1746" s="666"/>
      <c r="AO1746" s="666"/>
      <c r="AP1746" s="666"/>
      <c r="AQ1746" s="666"/>
      <c r="AR1746" s="666"/>
      <c r="AS1746" s="666"/>
      <c r="AT1746" s="666"/>
      <c r="AU1746" s="666"/>
    </row>
    <row r="1747" spans="39:47" ht="21" customHeight="1">
      <c r="AM1747" s="666" t="s">
        <v>2384</v>
      </c>
      <c r="AN1747" s="666"/>
      <c r="AO1747" s="666"/>
      <c r="AP1747" s="666"/>
      <c r="AQ1747" s="666"/>
      <c r="AR1747" s="666"/>
      <c r="AS1747" s="666"/>
      <c r="AT1747" s="666"/>
      <c r="AU1747" s="823">
        <f>$AR$739</f>
        <v>16.82236842105263</v>
      </c>
    </row>
    <row r="1748" spans="39:47" ht="21" customHeight="1">
      <c r="AM1748" s="666" t="s">
        <v>1743</v>
      </c>
      <c r="AN1748" s="666"/>
      <c r="AO1748" s="666"/>
      <c r="AP1748" s="823">
        <f>+$AS$739</f>
        <v>12.505081300813009</v>
      </c>
      <c r="AQ1748" s="666" t="s">
        <v>1744</v>
      </c>
      <c r="AR1748" s="666"/>
      <c r="AS1748" s="666"/>
      <c r="AT1748" s="823">
        <f>ABS($AT$739)</f>
        <v>4.317287120239621</v>
      </c>
      <c r="AU1748" s="816" t="s">
        <v>1745</v>
      </c>
    </row>
    <row r="1749" spans="39:47" ht="21" customHeight="1">
      <c r="AM1749" s="228" t="str">
        <f>IF($AT$744&gt;=0,"повече  или","по-малко  или")</f>
        <v>повече  или</v>
      </c>
      <c r="AN1749" s="666"/>
      <c r="AO1749" s="904">
        <f>ABS($AU$739)</f>
        <v>0.34524262708783315</v>
      </c>
      <c r="AP1749" s="666"/>
      <c r="AQ1749" s="666"/>
      <c r="AR1749" s="666"/>
      <c r="AS1749" s="666"/>
      <c r="AT1749" s="666"/>
      <c r="AU1749" s="666"/>
    </row>
    <row r="1750" spans="39:47" ht="21" customHeight="1">
      <c r="AM1750" s="986">
        <v>3</v>
      </c>
      <c r="AN1750" s="1178" t="s">
        <v>2443</v>
      </c>
      <c r="AO1750" s="608"/>
      <c r="AP1750" s="608"/>
      <c r="AQ1750" s="608"/>
      <c r="AR1750" s="608"/>
      <c r="AS1750" s="608"/>
      <c r="AT1750" s="608"/>
      <c r="AU1750" s="907">
        <f>+$AR$741</f>
        <v>0.16447368421052633</v>
      </c>
    </row>
    <row r="1751" spans="39:47" ht="21" customHeight="1">
      <c r="AM1751" s="608" t="s">
        <v>1334</v>
      </c>
      <c r="AN1751" s="608"/>
      <c r="AO1751" s="608"/>
      <c r="AP1751" s="608"/>
      <c r="AQ1751" s="608"/>
      <c r="AR1751" s="608"/>
      <c r="AS1751" s="908">
        <f>$AR$741</f>
        <v>0.16447368421052633</v>
      </c>
      <c r="AT1751" s="1507" t="s">
        <v>1335</v>
      </c>
      <c r="AU1751" s="1507"/>
    </row>
    <row r="1752" spans="39:47" ht="21" customHeight="1">
      <c r="AM1752" s="608" t="s">
        <v>1268</v>
      </c>
      <c r="AN1752" s="608"/>
      <c r="AO1752" s="608"/>
      <c r="AP1752" s="608"/>
      <c r="AQ1752" s="608"/>
      <c r="AR1752" s="608"/>
      <c r="AS1752" s="608"/>
      <c r="AT1752" s="608"/>
      <c r="AU1752" s="608"/>
    </row>
    <row r="1753" spans="39:47" ht="21" customHeight="1">
      <c r="AM1753" s="608" t="s">
        <v>1337</v>
      </c>
      <c r="AN1753" s="608"/>
      <c r="AO1753" s="608"/>
      <c r="AP1753" s="608"/>
      <c r="AQ1753" s="608"/>
      <c r="AR1753" s="608"/>
      <c r="AS1753" s="608"/>
      <c r="AT1753" s="1505" t="str">
        <f>IF($AT$741&gt;=0,"н а м а л я в а","у в е л и ч а в а")</f>
        <v>у в е л и ч а в а</v>
      </c>
      <c r="AU1753" s="1505"/>
    </row>
    <row r="1754" spans="39:47" ht="21" customHeight="1">
      <c r="AM1754" s="608" t="s">
        <v>231</v>
      </c>
      <c r="AN1754" s="608"/>
      <c r="AO1754" s="1506" t="str">
        <f>$AM$513</f>
        <v>"В И Н З А В О Д"  А Д - гр. АСЕНОВГРАД</v>
      </c>
      <c r="AP1754" s="1506"/>
      <c r="AQ1754" s="1506"/>
      <c r="AR1754" s="1506"/>
      <c r="AS1754" s="608" t="s">
        <v>232</v>
      </c>
      <c r="AT1754" s="608"/>
      <c r="AU1754" s="608"/>
    </row>
    <row r="1755" spans="39:47" ht="21" customHeight="1">
      <c r="AM1755" s="608" t="s">
        <v>233</v>
      </c>
      <c r="AN1755" s="608"/>
      <c r="AO1755" s="608"/>
      <c r="AP1755" s="608"/>
      <c r="AQ1755" s="608"/>
      <c r="AR1755" s="608"/>
      <c r="AS1755" s="608"/>
      <c r="AT1755" s="1505"/>
      <c r="AU1755" s="1505"/>
    </row>
    <row r="1756" spans="39:47" ht="21" customHeight="1">
      <c r="AM1756" s="986">
        <v>4</v>
      </c>
      <c r="AN1756" s="871" t="s">
        <v>820</v>
      </c>
      <c r="AO1756" s="871"/>
      <c r="AP1756" s="871"/>
      <c r="AQ1756" s="871"/>
      <c r="AR1756" s="871"/>
      <c r="AS1756" s="871"/>
      <c r="AT1756" s="871"/>
      <c r="AU1756" s="871"/>
    </row>
    <row r="1757" spans="39:47" ht="21" customHeight="1">
      <c r="AM1757" s="871" t="s">
        <v>2186</v>
      </c>
      <c r="AN1757" s="871"/>
      <c r="AO1757" s="871"/>
      <c r="AP1757" s="871"/>
      <c r="AQ1757" s="871"/>
      <c r="AR1757" s="978">
        <f>+$AR$999</f>
        <v>0.020273248126928163</v>
      </c>
      <c r="AS1757" s="979" t="s">
        <v>2187</v>
      </c>
      <c r="AT1757" s="871"/>
      <c r="AU1757" s="871"/>
    </row>
    <row r="1758" spans="39:47" ht="21" customHeight="1">
      <c r="AM1758" s="871" t="s">
        <v>743</v>
      </c>
      <c r="AN1758" s="871"/>
      <c r="AO1758" s="871"/>
      <c r="AP1758" s="871"/>
      <c r="AQ1758" s="871"/>
      <c r="AR1758" s="871"/>
      <c r="AS1758" s="871"/>
      <c r="AT1758" s="871"/>
      <c r="AU1758" s="871"/>
    </row>
    <row r="1759" spans="39:47" ht="21" customHeight="1">
      <c r="AM1759" s="871" t="s">
        <v>874</v>
      </c>
      <c r="AN1759" s="871"/>
      <c r="AO1759" s="871"/>
      <c r="AP1759" s="871" t="str">
        <f>$AM$513</f>
        <v>"В И Н З А В О Д"  А Д - гр. АСЕНОВГРАД</v>
      </c>
      <c r="AQ1759" s="871"/>
      <c r="AR1759" s="871"/>
      <c r="AS1759" s="871"/>
      <c r="AT1759" s="871"/>
      <c r="AU1759" s="871"/>
    </row>
    <row r="1760" spans="39:47" ht="21" customHeight="1">
      <c r="AM1760" s="986">
        <v>5</v>
      </c>
      <c r="AN1760" s="871" t="s">
        <v>1552</v>
      </c>
      <c r="AO1760" s="871"/>
      <c r="AP1760" s="871"/>
      <c r="AQ1760" s="871"/>
      <c r="AR1760" s="871"/>
      <c r="AS1760" s="871"/>
      <c r="AT1760" s="871"/>
      <c r="AU1760" s="871"/>
    </row>
    <row r="1761" spans="39:47" ht="21" customHeight="1">
      <c r="AM1761" s="1190" t="s">
        <v>2397</v>
      </c>
      <c r="AN1761" s="871"/>
      <c r="AO1761" s="871"/>
      <c r="AP1761" s="871"/>
      <c r="AQ1761" s="871"/>
      <c r="AR1761" s="871"/>
      <c r="AS1761" s="871"/>
      <c r="AT1761" s="871"/>
      <c r="AU1761" s="871"/>
    </row>
    <row r="1762" spans="39:47" ht="21" customHeight="1">
      <c r="AM1762" s="1190" t="s">
        <v>2396</v>
      </c>
      <c r="AN1762" s="871"/>
      <c r="AO1762" s="871"/>
      <c r="AP1762" s="978">
        <f>+$AR$1002</f>
        <v>0.015400717703349283</v>
      </c>
      <c r="AQ1762" s="224" t="s">
        <v>1158</v>
      </c>
      <c r="AR1762" s="978">
        <f>+$AS$1002</f>
        <v>0.05660628662759723</v>
      </c>
      <c r="AS1762" s="871" t="s">
        <v>247</v>
      </c>
      <c r="AT1762" s="871"/>
      <c r="AU1762" s="871"/>
    </row>
    <row r="1763" spans="39:47" ht="21" customHeight="1">
      <c r="AM1763" s="983">
        <f>ABS($AU$1002)</f>
        <v>0.7279327329017732</v>
      </c>
      <c r="AN1763" s="214"/>
      <c r="AO1763" s="214" t="str">
        <f>IF($AT$1002&gt;=0,"повече.","по-малко.")</f>
        <v>по-малко.</v>
      </c>
      <c r="AP1763" s="871"/>
      <c r="AQ1763" s="871"/>
      <c r="AR1763" s="871"/>
      <c r="AS1763" s="871"/>
      <c r="AT1763" s="871"/>
      <c r="AU1763" s="871"/>
    </row>
    <row r="1764" spans="39:47" ht="21" customHeight="1">
      <c r="AM1764" s="986">
        <v>6</v>
      </c>
      <c r="AN1764" s="871" t="s">
        <v>20</v>
      </c>
      <c r="AO1764" s="871"/>
      <c r="AP1764" s="871"/>
      <c r="AQ1764" s="871"/>
      <c r="AR1764" s="871"/>
      <c r="AS1764" s="871"/>
      <c r="AT1764" s="871"/>
      <c r="AU1764" s="871"/>
    </row>
    <row r="1765" spans="39:47" ht="21" customHeight="1">
      <c r="AM1765" s="871" t="s">
        <v>74</v>
      </c>
      <c r="AN1765" s="871"/>
      <c r="AO1765" s="871"/>
      <c r="AP1765" s="871"/>
      <c r="AQ1765" s="978">
        <f>+$AR$1006</f>
        <v>0.0047931499837125975</v>
      </c>
      <c r="AR1765" s="224" t="s">
        <v>75</v>
      </c>
      <c r="AS1765" s="978">
        <f>+$AS$1006</f>
        <v>0.02200134596469431</v>
      </c>
      <c r="AT1765" s="214" t="s">
        <v>2429</v>
      </c>
      <c r="AU1765" s="214"/>
    </row>
    <row r="1766" spans="39:47" ht="21" customHeight="1">
      <c r="AM1766" s="1190" t="s">
        <v>2398</v>
      </c>
      <c r="AN1766" s="871"/>
      <c r="AO1766" s="871"/>
      <c r="AP1766" s="871"/>
      <c r="AQ1766" s="871"/>
      <c r="AR1766" s="871"/>
      <c r="AS1766" s="871"/>
      <c r="AT1766" s="871"/>
      <c r="AU1766" s="871"/>
    </row>
    <row r="1767" spans="39:47" ht="21" customHeight="1">
      <c r="AM1767" s="871" t="s">
        <v>2431</v>
      </c>
      <c r="AN1767" s="871"/>
      <c r="AO1767" s="871"/>
      <c r="AP1767" s="871"/>
      <c r="AQ1767" s="871"/>
      <c r="AR1767" s="871"/>
      <c r="AS1767" s="871"/>
      <c r="AT1767" s="871"/>
      <c r="AU1767" s="871"/>
    </row>
    <row r="1768" spans="39:47" ht="21" customHeight="1">
      <c r="AM1768" s="871" t="s">
        <v>2021</v>
      </c>
      <c r="AN1768" s="871"/>
      <c r="AO1768" s="871"/>
      <c r="AP1768" s="871"/>
      <c r="AQ1768" s="871"/>
      <c r="AR1768" s="871"/>
      <c r="AS1768" s="871"/>
      <c r="AT1768" s="871"/>
      <c r="AU1768" s="871"/>
    </row>
    <row r="1769" spans="39:47" ht="21" customHeight="1">
      <c r="AM1769" s="871" t="s">
        <v>2043</v>
      </c>
      <c r="AN1769" s="871"/>
      <c r="AO1769" s="871"/>
      <c r="AP1769" s="871"/>
      <c r="AQ1769" s="871"/>
      <c r="AR1769" s="871"/>
      <c r="AS1769" s="871"/>
      <c r="AT1769" s="871"/>
      <c r="AU1769" s="871"/>
    </row>
    <row r="1770" spans="39:47" ht="21" customHeight="1">
      <c r="AM1770" s="871" t="s">
        <v>2044</v>
      </c>
      <c r="AN1770" s="871"/>
      <c r="AO1770" s="871"/>
      <c r="AP1770" s="871"/>
      <c r="AQ1770" s="871"/>
      <c r="AR1770" s="871"/>
      <c r="AS1770" s="871"/>
      <c r="AT1770" s="871"/>
      <c r="AU1770" s="871"/>
    </row>
    <row r="1771" spans="39:47" ht="5.25" customHeight="1">
      <c r="AM1771" s="871"/>
      <c r="AN1771" s="871"/>
      <c r="AO1771" s="871"/>
      <c r="AP1771" s="871"/>
      <c r="AQ1771" s="871"/>
      <c r="AR1771" s="871"/>
      <c r="AS1771" s="871"/>
      <c r="AT1771" s="871"/>
      <c r="AU1771" s="871"/>
    </row>
    <row r="1772" spans="39:47" ht="18" customHeight="1">
      <c r="AM1772" s="986">
        <v>7</v>
      </c>
      <c r="AN1772" s="871" t="s">
        <v>480</v>
      </c>
      <c r="AO1772" s="871"/>
      <c r="AP1772" s="871"/>
      <c r="AQ1772" s="871"/>
      <c r="AR1772" s="871"/>
      <c r="AS1772" s="871"/>
      <c r="AT1772" s="871"/>
      <c r="AU1772" s="871"/>
    </row>
    <row r="1773" spans="39:47" ht="18" customHeight="1">
      <c r="AM1773" s="1190" t="s">
        <v>2399</v>
      </c>
      <c r="AN1773" s="871"/>
      <c r="AO1773" s="871"/>
      <c r="AP1773" s="871"/>
      <c r="AQ1773" s="871"/>
      <c r="AR1773" s="871"/>
      <c r="AS1773" s="871"/>
      <c r="AT1773" s="871"/>
      <c r="AU1773" s="871"/>
    </row>
    <row r="1774" spans="39:47" ht="18" customHeight="1">
      <c r="AM1774" s="871" t="s">
        <v>540</v>
      </c>
      <c r="AN1774" s="871"/>
      <c r="AO1774" s="871"/>
      <c r="AP1774" s="871"/>
      <c r="AQ1774" s="871"/>
      <c r="AR1774" s="871"/>
      <c r="AS1774" s="871"/>
      <c r="AT1774" s="871"/>
      <c r="AU1774" s="871"/>
    </row>
    <row r="1775" spans="39:47" ht="18" customHeight="1">
      <c r="AM1775" s="871"/>
      <c r="AN1775" s="871" t="s">
        <v>541</v>
      </c>
      <c r="AO1775" s="984"/>
      <c r="AP1775" s="608"/>
      <c r="AQ1775" s="608"/>
      <c r="AR1775" s="608"/>
      <c r="AS1775" s="608"/>
      <c r="AT1775" s="985"/>
      <c r="AU1775" s="908">
        <f>$AR$1011</f>
        <v>0.007442196531791907</v>
      </c>
    </row>
    <row r="1776" spans="39:47" ht="18" customHeight="1">
      <c r="AM1776" s="608" t="s">
        <v>1158</v>
      </c>
      <c r="AN1776" s="908">
        <f>$AS$1011</f>
        <v>0.03090459569517161</v>
      </c>
      <c r="AO1776" s="871" t="s">
        <v>140</v>
      </c>
      <c r="AP1776" s="608"/>
      <c r="AQ1776" s="608"/>
      <c r="AR1776" s="608"/>
      <c r="AS1776" s="608"/>
      <c r="AT1776" s="909"/>
      <c r="AU1776" s="608"/>
    </row>
    <row r="1777" spans="39:47" ht="18" customHeight="1">
      <c r="AM1777" s="986">
        <v>8</v>
      </c>
      <c r="AN1777" s="1178" t="s">
        <v>2444</v>
      </c>
      <c r="AO1777" s="608"/>
      <c r="AP1777" s="608"/>
      <c r="AQ1777" s="608"/>
      <c r="AR1777" s="608"/>
      <c r="AS1777" s="608"/>
      <c r="AT1777" s="608"/>
      <c r="AU1777" s="608"/>
    </row>
    <row r="1778" spans="39:47" ht="18" customHeight="1">
      <c r="AM1778" s="1178" t="s">
        <v>2445</v>
      </c>
      <c r="AN1778" s="608"/>
      <c r="AO1778" s="984"/>
      <c r="AP1778" s="608"/>
      <c r="AQ1778" s="608"/>
      <c r="AR1778" s="608"/>
      <c r="AS1778" s="984">
        <f>$AR$1011</f>
        <v>0.007442196531791907</v>
      </c>
      <c r="AT1778" s="985" t="s">
        <v>1347</v>
      </c>
      <c r="AU1778" s="985"/>
    </row>
    <row r="1779" spans="39:47" ht="18" customHeight="1">
      <c r="AM1779" s="608" t="s">
        <v>366</v>
      </c>
      <c r="AN1779" s="608"/>
      <c r="AO1779" s="818"/>
      <c r="AP1779" s="608"/>
      <c r="AQ1779" s="1484" t="str">
        <f>IF($AT$1011&gt;=0,"п о д о б р е н    с","в л о ш е н     с")</f>
        <v>в л о ш е н     с</v>
      </c>
      <c r="AR1779" s="1484"/>
      <c r="AS1779" s="984">
        <f>ABS($AT$1011)</f>
        <v>0.023462399163379704</v>
      </c>
      <c r="AT1779" s="909" t="s">
        <v>2235</v>
      </c>
      <c r="AU1779" s="987">
        <f>ABS($AU$1011)</f>
        <v>0.759188031281877</v>
      </c>
    </row>
    <row r="1780" spans="39:47" ht="18" customHeight="1">
      <c r="AM1780" s="608" t="s">
        <v>365</v>
      </c>
      <c r="AN1780" s="818"/>
      <c r="AO1780" s="818"/>
      <c r="AP1780" s="984"/>
      <c r="AQ1780" s="608"/>
      <c r="AR1780" s="608"/>
      <c r="AS1780" s="608"/>
      <c r="AT1780" s="988"/>
      <c r="AU1780" s="608"/>
    </row>
    <row r="1781" spans="39:47" ht="18" customHeight="1">
      <c r="AM1781" s="608"/>
      <c r="AN1781" s="608"/>
      <c r="AO1781" s="608"/>
      <c r="AP1781" s="608"/>
      <c r="AQ1781" s="608"/>
      <c r="AR1781" s="608"/>
      <c r="AS1781" s="608"/>
      <c r="AT1781" s="989" t="s">
        <v>1348</v>
      </c>
      <c r="AU1781" s="990" t="s">
        <v>1615</v>
      </c>
    </row>
    <row r="1782" spans="39:47" ht="18" customHeight="1">
      <c r="AM1782" s="644">
        <v>1</v>
      </c>
      <c r="AN1782" s="228" t="str">
        <f>IF($AT$1089&gt;=0,"Увеличение          на","Намаление           на")</f>
        <v>Намаление           на</v>
      </c>
      <c r="AO1782" s="608"/>
      <c r="AP1782" s="1506" t="s">
        <v>364</v>
      </c>
      <c r="AQ1782" s="1506"/>
      <c r="AR1782" s="1506"/>
      <c r="AS1782" s="1506"/>
      <c r="AT1782" s="991">
        <f>$AX$1016</f>
        <v>-0.01616674584585258</v>
      </c>
      <c r="AU1782" s="992">
        <f>$AT$1089/$AS$1011</f>
        <v>-0.5231178561697992</v>
      </c>
    </row>
    <row r="1783" spans="39:47" ht="18" customHeight="1">
      <c r="AM1783" s="644">
        <v>2</v>
      </c>
      <c r="AN1783" s="228" t="str">
        <f>IF($AT$1090&gt;=0,"Подобряване       на","Влошаване           на")</f>
        <v>Влошаване           на</v>
      </c>
      <c r="AO1783" s="608"/>
      <c r="AP1783" s="1505" t="s">
        <v>362</v>
      </c>
      <c r="AQ1783" s="1505"/>
      <c r="AR1783" s="1505"/>
      <c r="AS1783" s="1505"/>
      <c r="AT1783" s="991">
        <f>$AX$1017</f>
        <v>-0.0068066530686376955</v>
      </c>
      <c r="AU1783" s="992">
        <f>$AT$1090/$AS$1011</f>
        <v>-0.2202472776468367</v>
      </c>
    </row>
    <row r="1784" spans="39:47" ht="18" customHeight="1">
      <c r="AM1784" s="644">
        <v>3</v>
      </c>
      <c r="AN1784" s="228" t="str">
        <f>IF($AT$1091&gt;=0,"Подобряване       на","Влошаване       на")</f>
        <v>Влошаване       на</v>
      </c>
      <c r="AO1784" s="608"/>
      <c r="AP1784" s="1505" t="s">
        <v>361</v>
      </c>
      <c r="AQ1784" s="1505"/>
      <c r="AR1784" s="1505"/>
      <c r="AS1784" s="1505"/>
      <c r="AT1784" s="991">
        <f>$AX$1014</f>
        <v>-0.0018307066695336495</v>
      </c>
      <c r="AU1784" s="992">
        <f>$AT$1091/$AS$1011</f>
        <v>-0.05923736028100411</v>
      </c>
    </row>
    <row r="1785" spans="39:47" ht="18" customHeight="1">
      <c r="AM1785" s="644">
        <v>4</v>
      </c>
      <c r="AN1785" s="228" t="str">
        <f>IF($AT$1092&gt;=0,"Увеличение          от","Намаление           от")</f>
        <v>Намаление           от</v>
      </c>
      <c r="AO1785" s="608"/>
      <c r="AP1785" s="1505" t="s">
        <v>359</v>
      </c>
      <c r="AQ1785" s="1505"/>
      <c r="AR1785" s="1505"/>
      <c r="AS1785" s="1505"/>
      <c r="AT1785" s="991">
        <f>$AX$1015</f>
        <v>-0.0019146027566781</v>
      </c>
      <c r="AU1785" s="992">
        <f>$AT$1092/$AS$1011</f>
        <v>-0.06195204025844055</v>
      </c>
    </row>
    <row r="1786" spans="39:47" ht="18" customHeight="1">
      <c r="AM1786" s="644">
        <v>5</v>
      </c>
      <c r="AN1786" s="228" t="str">
        <f>IF($AT$1093&gt;=0,"Увеличение          от","Намаление           от")</f>
        <v>Увеличение          от</v>
      </c>
      <c r="AO1786" s="608"/>
      <c r="AP1786" s="1505" t="s">
        <v>350</v>
      </c>
      <c r="AQ1786" s="1505"/>
      <c r="AR1786" s="1505"/>
      <c r="AS1786" s="1505"/>
      <c r="AT1786" s="991">
        <f>$AX$1018</f>
        <v>0.003256309177322319</v>
      </c>
      <c r="AU1786" s="992">
        <f>$AT$1093/$AS$1011</f>
        <v>0.1053665030742036</v>
      </c>
    </row>
    <row r="1787" spans="39:47" ht="18" customHeight="1">
      <c r="AM1787" s="644">
        <v>6</v>
      </c>
      <c r="AN1787" s="228" t="str">
        <f>IF($AT$1094&gt;=0,"Увеличение          от","Намаление           от")</f>
        <v>Увеличение          от</v>
      </c>
      <c r="AO1787" s="608"/>
      <c r="AP1787" s="1505" t="s">
        <v>348</v>
      </c>
      <c r="AQ1787" s="1505"/>
      <c r="AR1787" s="1505"/>
      <c r="AS1787" s="1505"/>
      <c r="AT1787" s="991">
        <f>$AX$1013</f>
        <v>0</v>
      </c>
      <c r="AU1787" s="992">
        <f>$AT$1094/$AS$1011</f>
        <v>0</v>
      </c>
    </row>
    <row r="1788" spans="39:47" ht="18" customHeight="1">
      <c r="AM1788" s="644">
        <v>7</v>
      </c>
      <c r="AN1788" s="228" t="str">
        <f>IF($AT$1095&gt;=0,"Увеличение          от","Намаление           от")</f>
        <v>Увеличение          от</v>
      </c>
      <c r="AO1788" s="608"/>
      <c r="AP1788" s="1462" t="s">
        <v>347</v>
      </c>
      <c r="AQ1788" s="1462"/>
      <c r="AR1788" s="1462"/>
      <c r="AS1788" s="1462"/>
      <c r="AT1788" s="993">
        <f>$AX$1012</f>
        <v>0</v>
      </c>
      <c r="AU1788" s="994">
        <f>$AT$1095/$AS$1011</f>
        <v>0</v>
      </c>
    </row>
    <row r="1789" spans="39:47" ht="18" customHeight="1">
      <c r="AM1789" s="608"/>
      <c r="AN1789" s="608"/>
      <c r="AO1789" s="608"/>
      <c r="AP1789" s="608"/>
      <c r="AQ1789" s="608"/>
      <c r="AR1789" s="608"/>
      <c r="AS1789" s="648" t="s">
        <v>2334</v>
      </c>
      <c r="AT1789" s="995">
        <f>SUM($AT$1089:$AT$1095)</f>
        <v>-0.023462399163379704</v>
      </c>
      <c r="AU1789" s="996">
        <f>SUM($AU$1089:$AU$1095)</f>
        <v>-0.7591880312818771</v>
      </c>
    </row>
    <row r="1790" spans="39:47" ht="18" customHeight="1">
      <c r="AM1790" s="986">
        <v>9</v>
      </c>
      <c r="AN1790" s="608" t="s">
        <v>346</v>
      </c>
      <c r="AO1790" s="608"/>
      <c r="AP1790" s="608"/>
      <c r="AQ1790" s="608"/>
      <c r="AR1790" s="608"/>
      <c r="AS1790" s="608"/>
      <c r="AT1790" s="991"/>
      <c r="AU1790" s="984">
        <f>$AR$1019</f>
        <v>0.8817651466495396</v>
      </c>
    </row>
    <row r="1791" spans="39:47" ht="18" customHeight="1">
      <c r="AM1791" s="608" t="s">
        <v>141</v>
      </c>
      <c r="AN1791" s="608"/>
      <c r="AO1791" s="608"/>
      <c r="AP1791" s="608"/>
      <c r="AQ1791" s="1499" t="str">
        <f>IF($AR$1019&gt;=1,"п о л о ж и т е л н и я","о т р и ц а т е л н и я")</f>
        <v>о т р и ц а т е л н и я</v>
      </c>
      <c r="AR1791" s="1499"/>
      <c r="AS1791" s="608" t="s">
        <v>345</v>
      </c>
      <c r="AT1791" s="608"/>
      <c r="AU1791" s="608"/>
    </row>
    <row r="1792" spans="39:47" ht="18" customHeight="1">
      <c r="AM1792" s="608" t="s">
        <v>344</v>
      </c>
      <c r="AN1792" s="608"/>
      <c r="AO1792" s="608"/>
      <c r="AP1792" s="608"/>
      <c r="AQ1792" s="608"/>
      <c r="AR1792" s="608"/>
      <c r="AS1792" s="608"/>
      <c r="AT1792" s="608"/>
      <c r="AU1792" s="608"/>
    </row>
    <row r="1793" spans="39:47" ht="18" customHeight="1">
      <c r="AM1793" s="608" t="s">
        <v>343</v>
      </c>
      <c r="AN1793" s="608"/>
      <c r="AO1793" s="608"/>
      <c r="AP1793" s="608"/>
      <c r="AQ1793" s="644" t="str">
        <f>IF($AR$1019&gt;=1,"по-висока","по-ниска")</f>
        <v>по-ниска</v>
      </c>
      <c r="AR1793" s="608" t="s">
        <v>574</v>
      </c>
      <c r="AS1793" s="608"/>
      <c r="AT1793" s="608"/>
      <c r="AU1793" s="608"/>
    </row>
    <row r="1794" spans="39:47" ht="18" customHeight="1">
      <c r="AM1794" s="608" t="s">
        <v>573</v>
      </c>
      <c r="AN1794" s="608"/>
      <c r="AO1794" s="608"/>
      <c r="AP1794" s="608"/>
      <c r="AQ1794" s="608"/>
      <c r="AR1794" s="608"/>
      <c r="AS1794" s="608"/>
      <c r="AT1794" s="608"/>
      <c r="AU1794" s="608"/>
    </row>
    <row r="1795" spans="39:47" ht="18" customHeight="1">
      <c r="AM1795" s="1182">
        <v>10</v>
      </c>
      <c r="AN1795" s="1181" t="s">
        <v>1136</v>
      </c>
      <c r="AO1795" s="760"/>
      <c r="AP1795" s="760"/>
      <c r="AQ1795" s="760"/>
      <c r="AR1795" s="760"/>
      <c r="AS1795" s="760"/>
      <c r="AT1795" s="760"/>
      <c r="AU1795" s="760"/>
    </row>
    <row r="1796" spans="40:47" ht="18" customHeight="1" thickBot="1">
      <c r="AN1796" s="1180" t="str">
        <f>$AM$513</f>
        <v>"В И Н З А В О Д"  А Д - гр. АСЕНОВГРАД</v>
      </c>
      <c r="AO1796" s="760"/>
      <c r="AP1796" s="760"/>
      <c r="AQ1796" s="760"/>
      <c r="AR1796" s="760"/>
      <c r="AS1796" s="760"/>
      <c r="AT1796" s="760"/>
      <c r="AU1796" s="760"/>
    </row>
    <row r="1797" spans="39:47" ht="18" customHeight="1">
      <c r="AM1797" s="1308" t="s">
        <v>1079</v>
      </c>
      <c r="AN1797" s="1500" t="s">
        <v>1387</v>
      </c>
      <c r="AO1797" s="1501"/>
      <c r="AP1797" s="1465" t="s">
        <v>1081</v>
      </c>
      <c r="AQ1797" s="1502"/>
      <c r="AR1797" s="1503" t="s">
        <v>1388</v>
      </c>
      <c r="AS1797" s="1504"/>
      <c r="AT1797" s="1465" t="s">
        <v>1082</v>
      </c>
      <c r="AU1797" s="1466"/>
    </row>
    <row r="1798" spans="39:47" ht="18" customHeight="1">
      <c r="AM1798" s="1309" t="s">
        <v>1076</v>
      </c>
      <c r="AN1798" s="1467" t="s">
        <v>1389</v>
      </c>
      <c r="AO1798" s="1458"/>
      <c r="AP1798" s="1459" t="s">
        <v>1074</v>
      </c>
      <c r="AQ1798" s="1460"/>
      <c r="AR1798" s="1467" t="s">
        <v>1389</v>
      </c>
      <c r="AS1798" s="1458"/>
      <c r="AT1798" s="1459" t="s">
        <v>1083</v>
      </c>
      <c r="AU1798" s="1461"/>
    </row>
    <row r="1799" spans="39:47" ht="18" customHeight="1" thickBot="1">
      <c r="AM1799" s="1310"/>
      <c r="AN1799" s="1486" t="s">
        <v>1390</v>
      </c>
      <c r="AO1799" s="1487"/>
      <c r="AP1799" s="1488"/>
      <c r="AQ1799" s="1489"/>
      <c r="AR1799" s="1490" t="s">
        <v>1391</v>
      </c>
      <c r="AS1799" s="1491"/>
      <c r="AT1799" s="1488"/>
      <c r="AU1799" s="1492"/>
    </row>
    <row r="1800" spans="39:47" ht="18" customHeight="1">
      <c r="AM1800" s="1011" t="s">
        <v>1072</v>
      </c>
      <c r="AN1800" s="1495">
        <f>IF($AR$1126&gt;=6,$AR$1126,"")</f>
      </c>
      <c r="AO1800" s="1496"/>
      <c r="AP1800" s="1495">
        <f>IF($AR$1127&gt;=0.4,$AR$1127,"")</f>
      </c>
      <c r="AQ1800" s="1496"/>
      <c r="AR1800" s="1497">
        <f>IF($AR$1128&gt;=20%,$AR$1128,"")</f>
      </c>
      <c r="AS1800" s="1498"/>
      <c r="AT1800" s="1497">
        <f>IF($AR$1129&lt;=12.5%,$AR$1129,"")</f>
      </c>
      <c r="AU1800" s="1468"/>
    </row>
    <row r="1801" spans="39:47" ht="18" customHeight="1">
      <c r="AM1801" s="1011" t="s">
        <v>1071</v>
      </c>
      <c r="AN1801" s="1495">
        <f>IF(AND($AR$1126&gt;=4,$AR$1126&lt;6),$AR$1126,"")</f>
      </c>
      <c r="AO1801" s="1496"/>
      <c r="AP1801" s="1495">
        <f>IF(AND($AR$1127&gt;=0.25,$AR$1127&lt;0.4),$AR$1127,"")</f>
      </c>
      <c r="AQ1801" s="1496"/>
      <c r="AR1801" s="1497">
        <f>IF(AND($AR$1128&gt;=15%,$AR$1128&lt;20%),$AR$1128,"")</f>
      </c>
      <c r="AS1801" s="1498"/>
      <c r="AT1801" s="1497">
        <f>IF(AND($AR$1129&gt;=12.5%,$AR$1129&lt;20%),$AR$1129,"")</f>
      </c>
      <c r="AU1801" s="1468"/>
    </row>
    <row r="1802" spans="39:47" ht="18" customHeight="1">
      <c r="AM1802" s="1011" t="s">
        <v>1855</v>
      </c>
      <c r="AN1802" s="1495">
        <f>IF(AND($AR$1126&gt;=2,$AR$1126&lt;4),$AR$1126,"")</f>
      </c>
      <c r="AO1802" s="1496"/>
      <c r="AP1802" s="1495">
        <f>IF(AND($AR$1127&gt;=0.1,$AR$1127&lt;0.25),$AR$1127,"")</f>
        <v>0.16447368421052633</v>
      </c>
      <c r="AQ1802" s="1496"/>
      <c r="AR1802" s="1497">
        <f>IF(AND($AR$1128&gt;=12.5%,$AR$1128&lt;15%),$AR$1128,"")</f>
      </c>
      <c r="AS1802" s="1498"/>
      <c r="AT1802" s="1497">
        <f>IF(AND($AR$1129&gt;=20%,$AR$1129&lt;35%),$AR$1129,"")</f>
        <v>0.2719996277165061</v>
      </c>
      <c r="AU1802" s="1468"/>
    </row>
    <row r="1803" spans="39:47" ht="18" customHeight="1">
      <c r="AM1803" s="1011" t="s">
        <v>1070</v>
      </c>
      <c r="AN1803" s="1495">
        <f>IF(AND($AR$1126&gt;=1.5,$AR$1126&lt;2),$AR$1126,"")</f>
      </c>
      <c r="AO1803" s="1496"/>
      <c r="AP1803" s="1495">
        <f>IF(AND($AR$1127&gt;=0.03,$AR$1127&lt;0.1),$AR$1127,"")</f>
      </c>
      <c r="AQ1803" s="1496"/>
      <c r="AR1803" s="1497">
        <f>IF(AND($AR$1128&gt;=10%,$AR$1128&lt;12.5%),$AR$1128,"")</f>
      </c>
      <c r="AS1803" s="1498"/>
      <c r="AT1803" s="1497">
        <f>IF(AND($AR$1129&gt;=35%,$AR$1129&lt;50%),$AR$1129,"")</f>
      </c>
      <c r="AU1803" s="1468"/>
    </row>
    <row r="1804" spans="39:47" ht="18" customHeight="1">
      <c r="AM1804" s="1011" t="s">
        <v>1069</v>
      </c>
      <c r="AN1804" s="1495">
        <f>IF(AND($AR$1126&gt;=1,$AR$1126&lt;1.5),$AR$1126,"")</f>
      </c>
      <c r="AO1804" s="1496"/>
      <c r="AP1804" s="1495">
        <f>IF(AND($AR$1127&gt;=0.01,$AR$1127&lt;0.03),$AR$1127,"")</f>
      </c>
      <c r="AQ1804" s="1496"/>
      <c r="AR1804" s="1497">
        <f>IF(AND($AR$1128&gt;=6%,$AR$1128&lt;10%),$AR$1128,"")</f>
      </c>
      <c r="AS1804" s="1498"/>
      <c r="AT1804" s="1497">
        <f>IF(AND($AR$1129&gt;=50%,$AR$1129&lt;60%),$AR$1129,"")</f>
      </c>
      <c r="AU1804" s="1468"/>
    </row>
    <row r="1805" spans="39:47" ht="18" customHeight="1" thickBot="1">
      <c r="AM1805" s="1012" t="s">
        <v>256</v>
      </c>
      <c r="AN1805" s="1469">
        <f>IF($AR$1126&lt;1,$AR$1126,"")</f>
        <v>0.40657894736842104</v>
      </c>
      <c r="AO1805" s="1463"/>
      <c r="AP1805" s="1469">
        <f>IF($AR$1127&lt;0.01,$AR$1127,"")</f>
      </c>
      <c r="AQ1805" s="1463"/>
      <c r="AR1805" s="1493">
        <f>IF($AR$1128&lt;6%,$AR$1128,"")</f>
        <v>0.01437944995113779</v>
      </c>
      <c r="AS1805" s="1464"/>
      <c r="AT1805" s="1493">
        <f>IF($AR$1129&gt;=60%,$AR$1129,"")</f>
      </c>
      <c r="AU1805" s="1494"/>
    </row>
    <row r="1806" spans="39:47" ht="18" customHeight="1">
      <c r="AM1806" s="1182">
        <v>11</v>
      </c>
      <c r="AN1806" s="110" t="s">
        <v>2448</v>
      </c>
      <c r="AO1806" s="110"/>
      <c r="AP1806" s="110"/>
      <c r="AQ1806" s="110"/>
      <c r="AR1806" s="110"/>
      <c r="AS1806" s="214" t="str">
        <f>IF($AT$1218&gt;0,"се   увеличава   с","се   намалява   с")</f>
        <v>се   намалява   с</v>
      </c>
      <c r="AT1806" s="215"/>
      <c r="AU1806" s="216">
        <f>ABS($AT$1218)</f>
        <v>0.04120556892424795</v>
      </c>
    </row>
    <row r="1807" spans="39:47" ht="18" customHeight="1">
      <c r="AM1807" s="110" t="s">
        <v>2449</v>
      </c>
      <c r="AN1807" s="110"/>
      <c r="AO1807" s="217">
        <f>ABS($AU$1218)</f>
        <v>0.7279327329017732</v>
      </c>
      <c r="AP1807" s="110" t="s">
        <v>2450</v>
      </c>
      <c r="AQ1807" s="110"/>
      <c r="AR1807" s="110"/>
      <c r="AS1807" s="110"/>
      <c r="AT1807" s="110"/>
      <c r="AU1807" s="110"/>
    </row>
    <row r="1808" spans="39:47" ht="18" customHeight="1">
      <c r="AM1808" s="218" t="str">
        <f>IF($AU$1218&gt;$AU$1157,"изпреварващи","изоставащи")</f>
        <v>изоставащи</v>
      </c>
      <c r="AN1808" s="215"/>
      <c r="AO1808" s="110" t="s">
        <v>2451</v>
      </c>
      <c r="AP1808" s="110"/>
      <c r="AQ1808" s="110"/>
      <c r="AR1808" s="110"/>
      <c r="AS1808" s="110"/>
      <c r="AT1808" s="214" t="str">
        <f>IF($AU$1218&gt;$AU$1157,"благоприятен","неблагоприятен")</f>
        <v>неблагоприятен</v>
      </c>
      <c r="AU1808" s="215"/>
    </row>
    <row r="1809" spans="39:47" ht="18" customHeight="1">
      <c r="AM1809" s="110" t="s">
        <v>618</v>
      </c>
      <c r="AN1809" s="110"/>
      <c r="AO1809" s="110"/>
      <c r="AP1809" s="110"/>
      <c r="AQ1809" s="110"/>
      <c r="AR1809" s="110"/>
      <c r="AS1809" s="110"/>
      <c r="AT1809" s="110"/>
      <c r="AU1809" s="110"/>
    </row>
    <row r="1810" spans="39:47" ht="18" customHeight="1">
      <c r="AM1810" s="110" t="s">
        <v>2184</v>
      </c>
      <c r="AN1810" s="110"/>
      <c r="AO1810" s="110"/>
      <c r="AP1810" s="110"/>
      <c r="AQ1810" s="110"/>
      <c r="AR1810" s="110"/>
      <c r="AS1810" s="110"/>
      <c r="AT1810" s="110"/>
      <c r="AU1810" s="110"/>
    </row>
    <row r="1811" spans="39:47" ht="6" customHeight="1">
      <c r="AM1811" s="110"/>
      <c r="AN1811" s="110"/>
      <c r="AO1811" s="110"/>
      <c r="AP1811" s="110"/>
      <c r="AQ1811" s="110"/>
      <c r="AR1811" s="110"/>
      <c r="AS1811" s="110"/>
      <c r="AT1811" s="110"/>
      <c r="AU1811" s="110"/>
    </row>
    <row r="1812" spans="39:47" ht="21.75" customHeight="1">
      <c r="AM1812" s="1182">
        <v>12</v>
      </c>
      <c r="AN1812" s="110" t="s">
        <v>2185</v>
      </c>
      <c r="AO1812" s="110"/>
      <c r="AP1812" s="110"/>
      <c r="AQ1812" s="110"/>
      <c r="AR1812" s="214" t="str">
        <f>IF($AT$1223&gt;0,"у в е л и ч е н и е","н а м а л е н и е")</f>
        <v>н а м а л е н и е</v>
      </c>
      <c r="AS1812" s="215"/>
      <c r="AT1812" s="110" t="s">
        <v>684</v>
      </c>
      <c r="AU1812" s="110"/>
    </row>
    <row r="1813" spans="39:47" ht="21.75" customHeight="1">
      <c r="AM1813" s="110" t="s">
        <v>685</v>
      </c>
      <c r="AN1813" s="110"/>
      <c r="AO1813" s="110"/>
      <c r="AP1813" s="219">
        <f>ABS($AT$1223)</f>
        <v>0.023462399163379704</v>
      </c>
      <c r="AQ1813" s="215" t="s">
        <v>686</v>
      </c>
      <c r="AR1813" s="215"/>
      <c r="AS1813" s="217">
        <f>ABS($AU$1223)</f>
        <v>0.759188031281877</v>
      </c>
      <c r="AT1813" s="110" t="s">
        <v>687</v>
      </c>
      <c r="AU1813" s="110"/>
    </row>
    <row r="1814" spans="39:47" ht="21.75" customHeight="1">
      <c r="AM1814" s="110" t="s">
        <v>688</v>
      </c>
      <c r="AN1814" s="110"/>
      <c r="AO1814" s="110"/>
      <c r="AP1814" s="110"/>
      <c r="AQ1814" s="214" t="str">
        <f>IF($AU$1223&gt;$AU$1158,"изпреварващи","изоставащи")</f>
        <v>изоставащи</v>
      </c>
      <c r="AR1814" s="215"/>
      <c r="AS1814" s="110" t="s">
        <v>689</v>
      </c>
      <c r="AT1814" s="110"/>
      <c r="AU1814" s="110"/>
    </row>
    <row r="1815" spans="39:47" ht="21.75" customHeight="1">
      <c r="AM1815" s="110" t="s">
        <v>690</v>
      </c>
      <c r="AN1815" s="110"/>
      <c r="AO1815" s="215" t="str">
        <f>+$AN$1224</f>
        <v>От увеличаване на</v>
      </c>
      <c r="AP1815" s="215"/>
      <c r="AQ1815" s="215" t="s">
        <v>691</v>
      </c>
      <c r="AR1815" s="220"/>
      <c r="AS1815" s="215"/>
      <c r="AT1815" s="215"/>
      <c r="AU1815" s="215"/>
    </row>
    <row r="1816" spans="39:47" ht="21.75" customHeight="1">
      <c r="AM1816" s="218" t="str">
        <f>IF($AT$1224&gt;0,"увеличава     с","намалява     с")</f>
        <v>намалява     с</v>
      </c>
      <c r="AN1816" s="215"/>
      <c r="AO1816" s="219">
        <f>ABS($AT$1224)</f>
        <v>0.00019650320962247975</v>
      </c>
      <c r="AP1816" s="215" t="s">
        <v>1</v>
      </c>
      <c r="AQ1816" s="215"/>
      <c r="AR1816" s="217">
        <f>ABS($AU$1224)</f>
        <v>0.006358381502890215</v>
      </c>
      <c r="AS1816" s="215" t="str">
        <f>+$AN$1225</f>
        <v>От намаляване  на</v>
      </c>
      <c r="AT1816" s="215"/>
      <c r="AU1816" s="110" t="s">
        <v>2</v>
      </c>
    </row>
    <row r="1817" spans="39:47" ht="21.75" customHeight="1">
      <c r="AM1817" s="110" t="s">
        <v>1527</v>
      </c>
      <c r="AN1817" s="110"/>
      <c r="AO1817" s="110"/>
      <c r="AP1817" s="110"/>
      <c r="AQ1817" s="214" t="str">
        <f>IF(AT1682&gt;0,"увеличава     с","намалява     с")</f>
        <v>увеличава     с</v>
      </c>
      <c r="AR1817" s="215"/>
      <c r="AS1817" s="219">
        <f>ABS($AT$1226)</f>
        <v>0.023265895953757224</v>
      </c>
      <c r="AT1817" s="221" t="s">
        <v>1830</v>
      </c>
      <c r="AU1817" s="217">
        <f>ABS($AU$1226)</f>
        <v>0.7528296497789867</v>
      </c>
    </row>
    <row r="1818" spans="39:47" ht="21.75" customHeight="1">
      <c r="AM1818" s="1182">
        <v>13</v>
      </c>
      <c r="AN1818" s="110" t="s">
        <v>1831</v>
      </c>
      <c r="AO1818" s="110"/>
      <c r="AP1818" s="110"/>
      <c r="AQ1818" s="110"/>
      <c r="AR1818" s="110"/>
      <c r="AS1818" s="214" t="str">
        <f>IF($AT$1227&gt;0,"се   увеличава   с","се  намалява   с")</f>
        <v>се  намалява   с</v>
      </c>
      <c r="AT1818" s="215"/>
      <c r="AU1818" s="216">
        <f>ABS($AT$1227)</f>
        <v>0.06290435818528034</v>
      </c>
    </row>
    <row r="1819" spans="39:47" ht="21.75" customHeight="1">
      <c r="AM1819" s="110" t="s">
        <v>2449</v>
      </c>
      <c r="AN1819" s="110"/>
      <c r="AO1819" s="217">
        <f>ABS($AU$1227)</f>
        <v>0.8236770665907884</v>
      </c>
      <c r="AP1819" s="215" t="str">
        <f>+$AN$1228</f>
        <v>От увеличаване на</v>
      </c>
      <c r="AQ1819" s="215"/>
      <c r="AR1819" s="110" t="s">
        <v>1832</v>
      </c>
      <c r="AS1819" s="110"/>
      <c r="AT1819" s="110"/>
      <c r="AU1819" s="110"/>
    </row>
    <row r="1820" spans="39:47" ht="21.75" customHeight="1">
      <c r="AM1820" s="218" t="str">
        <f>IF($AT$1228&gt;0,"е  увеличена  с","е  намалена  с")</f>
        <v>е  намалена  с</v>
      </c>
      <c r="AN1820" s="215"/>
      <c r="AO1820" s="219">
        <f>ABS($AT$1228)</f>
        <v>0.020807352040686275</v>
      </c>
      <c r="AP1820" s="215" t="s">
        <v>1</v>
      </c>
      <c r="AQ1820" s="215"/>
      <c r="AR1820" s="217">
        <f>ABS($AU$1228)</f>
        <v>0.2724539155445156</v>
      </c>
      <c r="AS1820" s="215" t="str">
        <f>+$AN$1229</f>
        <v>От намаляване  на</v>
      </c>
      <c r="AT1820" s="215"/>
      <c r="AU1820" s="110" t="s">
        <v>2</v>
      </c>
    </row>
    <row r="1821" spans="39:47" ht="21.75" customHeight="1">
      <c r="AM1821" s="110" t="s">
        <v>1833</v>
      </c>
      <c r="AN1821" s="110"/>
      <c r="AO1821" s="110"/>
      <c r="AP1821" s="110"/>
      <c r="AQ1821" s="214" t="str">
        <f>IF($AT$1230&gt;0,"увеличава     с","намалява     с")</f>
        <v>намалява     с</v>
      </c>
      <c r="AR1821" s="215"/>
      <c r="AS1821" s="219">
        <f>ABS($AT$1230)</f>
        <v>0.042097006144594065</v>
      </c>
      <c r="AT1821" s="221" t="s">
        <v>1830</v>
      </c>
      <c r="AU1821" s="217">
        <f>ABS($AU$1230)</f>
        <v>0.5512231510462728</v>
      </c>
    </row>
    <row r="1822" spans="39:47" ht="21.75" customHeight="1">
      <c r="AM1822" s="1182">
        <v>14</v>
      </c>
      <c r="AN1822" s="110" t="s">
        <v>1834</v>
      </c>
      <c r="AO1822" s="110"/>
      <c r="AP1822" s="110"/>
      <c r="AQ1822" s="110"/>
      <c r="AR1822" s="110"/>
      <c r="AS1822" s="214" t="str">
        <f>IF($AT$1231&gt;0,"се  увеличава  с","се  намалява  с")</f>
        <v>се  намалява  с</v>
      </c>
      <c r="AT1822" s="215"/>
      <c r="AU1822" s="216">
        <f>ABS($AT$1231)</f>
        <v>0.01720819598098171</v>
      </c>
    </row>
    <row r="1823" spans="39:47" ht="21.75" customHeight="1">
      <c r="AM1823" s="110" t="s">
        <v>2449</v>
      </c>
      <c r="AN1823" s="110"/>
      <c r="AO1823" s="217">
        <f>ABS($AU$1231)</f>
        <v>0.7821428747402912</v>
      </c>
      <c r="AP1823" s="215" t="str">
        <f>+$AN$1232</f>
        <v>От увеличаване на</v>
      </c>
      <c r="AQ1823" s="215"/>
      <c r="AR1823" s="215" t="s">
        <v>600</v>
      </c>
      <c r="AS1823" s="215"/>
      <c r="AT1823" s="215"/>
      <c r="AU1823" s="215"/>
    </row>
    <row r="1824" spans="39:47" ht="21.75" customHeight="1">
      <c r="AM1824" s="218" t="str">
        <f>IF($AT$1232&gt;0,"е  увеличена  с","е  намалена  с")</f>
        <v>е  намалена  с</v>
      </c>
      <c r="AN1824" s="215"/>
      <c r="AO1824" s="219">
        <f>ABS($AT$1232)</f>
        <v>0.0022237853522879616</v>
      </c>
      <c r="AP1824" s="215" t="s">
        <v>601</v>
      </c>
      <c r="AQ1824" s="215"/>
      <c r="AR1824" s="217">
        <f>ABS($AU$1232)</f>
        <v>0.10107496858858014</v>
      </c>
      <c r="AS1824" s="215" t="str">
        <f>+$AN$1233</f>
        <v>От намаляване  на</v>
      </c>
      <c r="AT1824" s="215"/>
      <c r="AU1824" s="110" t="s">
        <v>2</v>
      </c>
    </row>
    <row r="1825" spans="39:47" ht="21.75" customHeight="1">
      <c r="AM1825" s="110" t="s">
        <v>602</v>
      </c>
      <c r="AN1825" s="110"/>
      <c r="AO1825" s="110"/>
      <c r="AP1825" s="110"/>
      <c r="AQ1825" s="214" t="str">
        <f>IF($AT$1234&gt;0,"увеличава     с","намалява     с")</f>
        <v>намалява     с</v>
      </c>
      <c r="AR1825" s="215"/>
      <c r="AS1825" s="219">
        <f>ABS($AT$1234)</f>
        <v>0.01498441062869375</v>
      </c>
      <c r="AT1825" s="221" t="s">
        <v>1830</v>
      </c>
      <c r="AU1825" s="217">
        <f>ABS($AU$1234)</f>
        <v>0.681067906151711</v>
      </c>
    </row>
    <row r="1826" spans="39:47" ht="21.75" customHeight="1">
      <c r="AM1826" s="1183">
        <v>15</v>
      </c>
      <c r="AN1826" s="110" t="s">
        <v>1941</v>
      </c>
      <c r="AO1826" s="110"/>
      <c r="AP1826" s="110"/>
      <c r="AQ1826" s="110"/>
      <c r="AR1826" s="224" t="str">
        <f>IF($AT$1235&gt;0,"расте  с","намалява")</f>
        <v>намалява</v>
      </c>
      <c r="AS1826" s="225">
        <f>ABS($AT$1235)</f>
        <v>0.042331825566588765</v>
      </c>
      <c r="AT1826" s="223" t="s">
        <v>1942</v>
      </c>
      <c r="AU1826" s="222">
        <f>ABS($AU$1235)</f>
        <v>0.040034414525112555</v>
      </c>
    </row>
    <row r="1827" spans="39:47" ht="21.75" customHeight="1">
      <c r="AM1827" s="1183">
        <v>16</v>
      </c>
      <c r="AN1827" s="110" t="s">
        <v>1943</v>
      </c>
      <c r="AO1827" s="110"/>
      <c r="AP1827" s="110"/>
      <c r="AQ1827" s="214" t="str">
        <f>IF($AU$1161&gt;$AU$1162,"е   по-бързо   от","е   по-бавно   от")</f>
        <v>е   по-бавно   от</v>
      </c>
      <c r="AR1827" s="215"/>
      <c r="AS1827" s="110" t="s">
        <v>272</v>
      </c>
      <c r="AT1827" s="110"/>
      <c r="AU1827" s="110"/>
    </row>
    <row r="1828" spans="39:47" ht="21.75" customHeight="1">
      <c r="AM1828" s="1183">
        <v>17</v>
      </c>
      <c r="AN1828" s="110" t="s">
        <v>132</v>
      </c>
      <c r="AO1828" s="110"/>
      <c r="AP1828" s="110"/>
      <c r="AQ1828" s="110"/>
      <c r="AR1828" s="224" t="str">
        <f>IF($AT$1238&gt;0,"растат с","намаляват")</f>
        <v>растат с</v>
      </c>
      <c r="AS1828" s="1375">
        <f>ABS($AT$1238*100)</f>
        <v>3.9440671588310994</v>
      </c>
      <c r="AT1828" s="231" t="s">
        <v>1799</v>
      </c>
      <c r="AU1828" s="222"/>
    </row>
    <row r="1829" spans="39:47" ht="21.75" customHeight="1">
      <c r="AM1829" s="1340"/>
      <c r="AN1829" s="110" t="s">
        <v>114</v>
      </c>
      <c r="AO1829" s="1340"/>
      <c r="AP1829" s="1340"/>
      <c r="AQ1829" s="608"/>
      <c r="AR1829" s="608"/>
      <c r="AS1829" s="225"/>
      <c r="AT1829" s="223"/>
      <c r="AU1829" s="222"/>
    </row>
    <row r="1830" spans="39:47" ht="21.75" customHeight="1">
      <c r="AM1830" s="1370" t="s">
        <v>116</v>
      </c>
      <c r="AN1830" s="669" t="str">
        <f>AN934</f>
        <v>Намаляване  на</v>
      </c>
      <c r="AO1830" s="760"/>
      <c r="AP1830" s="1178" t="s">
        <v>115</v>
      </c>
      <c r="AQ1830" s="1340"/>
      <c r="AR1830" s="1340"/>
      <c r="AS1830" s="1371">
        <f>AS934</f>
        <v>-7.2021453198825185</v>
      </c>
      <c r="AT1830" s="231" t="s">
        <v>1799</v>
      </c>
      <c r="AU1830" s="222"/>
    </row>
    <row r="1831" spans="39:47" ht="21.75" customHeight="1">
      <c r="AM1831" s="1366" t="s">
        <v>118</v>
      </c>
      <c r="AN1831" s="1484" t="str">
        <f>AN935</f>
        <v>От намаляване  на</v>
      </c>
      <c r="AO1831" s="1484"/>
      <c r="AP1831" s="1365" t="s">
        <v>117</v>
      </c>
      <c r="AQ1831" s="1365"/>
      <c r="AR1831" s="1365"/>
      <c r="AS1831" s="1372"/>
      <c r="AT1831" s="1371">
        <f>AT935</f>
        <v>-7.240454603498915</v>
      </c>
      <c r="AU1831" s="231" t="s">
        <v>1799</v>
      </c>
    </row>
    <row r="1832" spans="39:47" ht="21.75" customHeight="1">
      <c r="AM1832" s="1366" t="s">
        <v>118</v>
      </c>
      <c r="AN1832" s="1484" t="str">
        <f>AN939</f>
        <v>От увеличаване  на</v>
      </c>
      <c r="AO1832" s="1484"/>
      <c r="AP1832" s="37" t="s">
        <v>123</v>
      </c>
      <c r="AQ1832" s="110"/>
      <c r="AR1832" s="224"/>
      <c r="AS1832" s="225"/>
      <c r="AT1832" s="1373">
        <f>AT939</f>
        <v>0</v>
      </c>
      <c r="AU1832" s="231" t="s">
        <v>1799</v>
      </c>
    </row>
    <row r="1833" spans="39:47" ht="21.75" customHeight="1">
      <c r="AM1833" s="1366" t="s">
        <v>118</v>
      </c>
      <c r="AN1833" s="1484" t="str">
        <f>AN940</f>
        <v>От увеличаване  на</v>
      </c>
      <c r="AO1833" s="1484"/>
      <c r="AP1833" s="37" t="s">
        <v>125</v>
      </c>
      <c r="AQ1833" s="110"/>
      <c r="AR1833" s="224"/>
      <c r="AS1833" s="225"/>
      <c r="AT1833" s="1373">
        <f>AT940</f>
        <v>0.03830928361639638</v>
      </c>
      <c r="AU1833" s="231" t="s">
        <v>1799</v>
      </c>
    </row>
    <row r="1834" spans="39:47" ht="21.75" customHeight="1">
      <c r="AM1834" s="1370" t="s">
        <v>122</v>
      </c>
      <c r="AN1834" s="669" t="str">
        <f>AN941</f>
        <v>Намаляване  на</v>
      </c>
      <c r="AO1834" s="669"/>
      <c r="AP1834" s="1374" t="s">
        <v>126</v>
      </c>
      <c r="AQ1834" s="110"/>
      <c r="AR1834" s="224"/>
      <c r="AS1834" s="1373">
        <f>AS941</f>
        <v>11.146212478713608</v>
      </c>
      <c r="AT1834" s="231" t="s">
        <v>1799</v>
      </c>
      <c r="AU1834" s="222"/>
    </row>
    <row r="1835" spans="39:47" ht="21.75" customHeight="1">
      <c r="AM1835" s="1366" t="s">
        <v>118</v>
      </c>
      <c r="AN1835" s="1484" t="str">
        <f>AN942</f>
        <v>От намаляване  на</v>
      </c>
      <c r="AO1835" s="1484"/>
      <c r="AP1835" s="1372" t="s">
        <v>127</v>
      </c>
      <c r="AQ1835" s="110"/>
      <c r="AR1835" s="224"/>
      <c r="AS1835" s="225"/>
      <c r="AT1835" s="1371">
        <f>AT942</f>
        <v>11.146212478713608</v>
      </c>
      <c r="AU1835" s="231" t="s">
        <v>1799</v>
      </c>
    </row>
    <row r="1836" spans="39:47" ht="21.75" customHeight="1">
      <c r="AM1836" s="1366" t="s">
        <v>118</v>
      </c>
      <c r="AN1836" s="1484" t="str">
        <f>AN946</f>
        <v>От увеличаване  на</v>
      </c>
      <c r="AO1836" s="1484"/>
      <c r="AP1836" s="37" t="s">
        <v>131</v>
      </c>
      <c r="AQ1836" s="1377"/>
      <c r="AR1836" s="1378"/>
      <c r="AS1836" s="1379"/>
      <c r="AT1836" s="1373">
        <f>AT946</f>
        <v>0</v>
      </c>
      <c r="AU1836" s="231" t="s">
        <v>1799</v>
      </c>
    </row>
    <row r="1837" spans="39:47" ht="21.75" customHeight="1">
      <c r="AM1837" s="1366"/>
      <c r="AN1837" s="1339"/>
      <c r="AO1837" s="1339"/>
      <c r="AP1837" s="37"/>
      <c r="AQ1837" s="37"/>
      <c r="AR1837" s="1376" t="s">
        <v>2230</v>
      </c>
      <c r="AS1837" s="1371">
        <f>AS1830+AS1834</f>
        <v>3.944067158831089</v>
      </c>
      <c r="AT1837" s="231" t="s">
        <v>1799</v>
      </c>
      <c r="AU1837" s="231"/>
    </row>
    <row r="1838" spans="39:47" ht="21.75" customHeight="1">
      <c r="AM1838" s="1183">
        <v>18</v>
      </c>
      <c r="AN1838" s="110" t="s">
        <v>794</v>
      </c>
      <c r="AO1838" s="110"/>
      <c r="AP1838" s="110"/>
      <c r="AQ1838" s="110"/>
      <c r="AR1838" s="223"/>
      <c r="AS1838" s="110"/>
      <c r="AT1838" s="110"/>
      <c r="AU1838" s="110"/>
    </row>
    <row r="1839" spans="39:47" ht="21.75" customHeight="1">
      <c r="AM1839" s="218" t="str">
        <f>IF($AT$1194&gt;$AT$1193,"приходите в","разходите    в")</f>
        <v>приходите в</v>
      </c>
      <c r="AN1839" s="264"/>
      <c r="AO1839" s="1186" t="str">
        <f>AM513</f>
        <v>"В И Н З А В О Д"  А Д - гр. АСЕНОВГРАД</v>
      </c>
      <c r="AP1839" s="22"/>
      <c r="AQ1839" s="22"/>
      <c r="AR1839" s="22"/>
      <c r="AS1839" s="22"/>
      <c r="AT1839" s="22"/>
      <c r="AU1839" s="22"/>
    </row>
    <row r="1840" spans="39:47" ht="21.75" customHeight="1">
      <c r="AM1840" s="1183">
        <v>19</v>
      </c>
      <c r="AN1840" s="229" t="str">
        <f>IF($AT$1205&lt;0,"     Налице   е   ускоряване   на","     Налице    е  забавяне    на")</f>
        <v>     Налице    е  забавяне    на</v>
      </c>
      <c r="AO1840" s="229"/>
      <c r="AP1840" s="229"/>
      <c r="AQ1840" s="229" t="s">
        <v>2446</v>
      </c>
      <c r="AR1840" s="229"/>
      <c r="AS1840" s="229"/>
      <c r="AT1840" s="229"/>
      <c r="AU1840" s="229"/>
    </row>
    <row r="1841" spans="39:47" ht="21.75" customHeight="1">
      <c r="AM1841" s="226">
        <f>ABS($AT$1205)</f>
        <v>56.049386236817895</v>
      </c>
      <c r="AN1841" s="215" t="str">
        <f>IF($AT$1268&gt;0,"дни.   Негативно","дни. Положително")</f>
        <v>дни.   Негативно</v>
      </c>
      <c r="AO1841" s="215"/>
      <c r="AP1841" s="110" t="s">
        <v>609</v>
      </c>
      <c r="AQ1841" s="110"/>
      <c r="AR1841" s="110"/>
      <c r="AS1841" s="110" t="str">
        <f>IF($AT$1268&gt;0,"увеличаването   на","намаляването   на")</f>
        <v>увеличаването   на</v>
      </c>
      <c r="AT1841" s="110"/>
      <c r="AU1841" s="110" t="s">
        <v>610</v>
      </c>
    </row>
    <row r="1842" spans="39:47" ht="21.75" customHeight="1">
      <c r="AM1842" s="218" t="s">
        <v>976</v>
      </c>
      <c r="AN1842" s="231"/>
      <c r="AO1842" s="110"/>
      <c r="AP1842" s="110"/>
      <c r="AQ1842" s="110"/>
      <c r="AR1842" s="110"/>
      <c r="AS1842" s="110"/>
      <c r="AT1842" s="215" t="str">
        <f>+IF($AT$1268&gt;0,"в л о ш е н   с","п о д о б р е н   с")</f>
        <v>в л о ш е н   с</v>
      </c>
      <c r="AU1842" s="215"/>
    </row>
    <row r="1843" spans="39:47" ht="21.75" customHeight="1">
      <c r="AM1843" s="226">
        <f>ABS($AT$1268)</f>
        <v>15.511454448588154</v>
      </c>
      <c r="AN1843" s="215" t="s">
        <v>611</v>
      </c>
      <c r="AO1843" s="215"/>
      <c r="AP1843" s="215" t="str">
        <f>IF($AT$1269&lt;0,"увеличаването  на","намаляването  на")</f>
        <v>намаляването  на</v>
      </c>
      <c r="AQ1843" s="215"/>
      <c r="AR1843" s="110" t="s">
        <v>612</v>
      </c>
      <c r="AS1843" s="110"/>
      <c r="AT1843" s="110"/>
      <c r="AU1843" s="110"/>
    </row>
    <row r="1844" spans="39:47" ht="21.75" customHeight="1">
      <c r="AM1844" s="231" t="str">
        <f>+IF($AT$1269&gt;0,"в л о ш е н    с","подобрен      с")</f>
        <v>в л о ш е н    с</v>
      </c>
      <c r="AN1844" s="215"/>
      <c r="AO1844" s="227">
        <f>ABS($AT$1269)</f>
        <v>40.53793178822974</v>
      </c>
      <c r="AP1844" s="110" t="s">
        <v>613</v>
      </c>
      <c r="AQ1844" s="110"/>
      <c r="AR1844" s="110"/>
      <c r="AS1844" s="110"/>
      <c r="AT1844" s="110"/>
      <c r="AU1844" s="110"/>
    </row>
    <row r="1845" spans="39:47" ht="6.75" customHeight="1">
      <c r="AM1845" s="231"/>
      <c r="AN1845" s="215"/>
      <c r="AO1845" s="227"/>
      <c r="AP1845" s="110"/>
      <c r="AQ1845" s="110"/>
      <c r="AR1845" s="110"/>
      <c r="AS1845" s="110"/>
      <c r="AT1845" s="110"/>
      <c r="AU1845" s="110"/>
    </row>
    <row r="1846" spans="39:47" ht="17.25" customHeight="1">
      <c r="AM1846" s="1184">
        <v>20</v>
      </c>
      <c r="AN1846" s="110" t="s">
        <v>614</v>
      </c>
      <c r="AO1846" s="110"/>
      <c r="AP1846" s="110"/>
      <c r="AQ1846" s="110"/>
      <c r="AR1846" s="110"/>
      <c r="AS1846" s="231" t="str">
        <f>IF($AT$1210&lt;0,"ускорение в  събирането на","забавяне   в  събирането   на")</f>
        <v>забавяне   в  събирането   на</v>
      </c>
      <c r="AT1846" s="110"/>
      <c r="AU1846" s="110"/>
    </row>
    <row r="1847" spans="39:47" ht="17.25" customHeight="1">
      <c r="AM1847" s="218" t="s">
        <v>1535</v>
      </c>
      <c r="AN1847" s="110"/>
      <c r="AO1847" s="233">
        <f>ABS($AT$1210)</f>
        <v>0.015027033365370812</v>
      </c>
      <c r="AP1847" s="223" t="s">
        <v>616</v>
      </c>
      <c r="AQ1847" s="217">
        <f>ABS($AU$1210)</f>
        <v>0.00020963018674694176</v>
      </c>
      <c r="AR1847" s="215" t="str">
        <f>IF($AT$1175&gt;0," Увеличаването на","Намаляването на")</f>
        <v>Намаляването на</v>
      </c>
      <c r="AS1847" s="215"/>
      <c r="AT1847" s="110" t="s">
        <v>617</v>
      </c>
      <c r="AU1847" s="110"/>
    </row>
    <row r="1848" spans="39:47" ht="17.25" customHeight="1">
      <c r="AM1848" s="110" t="s">
        <v>2001</v>
      </c>
      <c r="AN1848" s="110"/>
      <c r="AO1848" s="110"/>
      <c r="AP1848" s="110" t="str">
        <f>IF($AT$1175&gt;0,"удължава","намалява")</f>
        <v>намалява</v>
      </c>
      <c r="AQ1848" s="110" t="s">
        <v>2002</v>
      </c>
      <c r="AR1848" s="110"/>
      <c r="AS1848" s="233">
        <f>ABS($AT$1277)</f>
        <v>7.815663292488011</v>
      </c>
      <c r="AT1848" s="215" t="s">
        <v>611</v>
      </c>
      <c r="AU1848" s="215"/>
    </row>
    <row r="1849" spans="39:47" ht="17.25" customHeight="1">
      <c r="AM1849" s="231" t="str">
        <f>IF($AT$1157&gt;0," увеличаването    на    приходите    от","намаляването   на  приходите  от")</f>
        <v>намаляването   на  приходите  от</v>
      </c>
      <c r="AN1849" s="110"/>
      <c r="AO1849" s="110"/>
      <c r="AP1849" s="110"/>
      <c r="AQ1849" s="215" t="s">
        <v>2003</v>
      </c>
      <c r="AR1849" s="215"/>
      <c r="AS1849" s="231" t="str">
        <f>IF($AT$1278&lt;0," намалява  времетраенето   с"," увеличава  времетраенето  с")</f>
        <v> увеличава  времетраенето  с</v>
      </c>
      <c r="AT1849" s="110"/>
      <c r="AU1849" s="110"/>
    </row>
    <row r="1850" spans="39:47" ht="17.25" customHeight="1">
      <c r="AM1850" s="226">
        <f>ABS($AT$1278)</f>
        <v>7.830690325853382</v>
      </c>
      <c r="AN1850" s="110" t="s">
        <v>613</v>
      </c>
      <c r="AO1850" s="110"/>
      <c r="AP1850" s="110"/>
      <c r="AQ1850" s="110"/>
      <c r="AR1850" s="110"/>
      <c r="AS1850" s="110"/>
      <c r="AT1850" s="110"/>
      <c r="AU1850" s="110"/>
    </row>
    <row r="1851" spans="39:47" ht="17.25" customHeight="1">
      <c r="AM1851" s="1184">
        <v>21</v>
      </c>
      <c r="AN1851" s="871" t="s">
        <v>1536</v>
      </c>
      <c r="AO1851" s="871"/>
      <c r="AP1851" s="871"/>
      <c r="AQ1851" s="871"/>
      <c r="AR1851" s="871"/>
      <c r="AS1851" s="871"/>
      <c r="AT1851" s="1185">
        <f>$AR$1447</f>
        <v>857</v>
      </c>
      <c r="AU1851" s="871" t="s">
        <v>524</v>
      </c>
    </row>
    <row r="1852" spans="39:47" ht="17.25" customHeight="1">
      <c r="AM1852" s="871" t="s">
        <v>525</v>
      </c>
      <c r="AN1852" s="224" t="str">
        <f>IF($AR$1447&gt;$AS$1447,"повече","по-малко")</f>
        <v>по-малко</v>
      </c>
      <c r="AO1852" s="871" t="s">
        <v>526</v>
      </c>
      <c r="AP1852" s="871"/>
      <c r="AQ1852" s="871">
        <f>ABS($AT$1447)</f>
        <v>206</v>
      </c>
      <c r="AR1852" s="218" t="s">
        <v>527</v>
      </c>
      <c r="AS1852" s="214" t="str">
        <f>IF($AR$1447&gt;$AS$1447," у в е л и ч е н и е   е  източник"," н а м а л е н и е   фактически  е")</f>
        <v> н а м а л е н и е   фактически  е</v>
      </c>
      <c r="AT1852" s="214"/>
      <c r="AU1852" s="214"/>
    </row>
    <row r="1853" spans="39:47" ht="17.25" customHeight="1">
      <c r="AM1853" s="871" t="str">
        <f>IF($AR$1447&gt;$AS$1447,"на парични средства, с които кредиторите и доставчиците финансират  фирмата.","довело до изтичане на парични средства.")</f>
        <v>довело до изтичане на парични средства.</v>
      </c>
      <c r="AN1853" s="871"/>
      <c r="AO1853" s="871"/>
      <c r="AP1853" s="871"/>
      <c r="AQ1853" s="871"/>
      <c r="AR1853" s="871"/>
      <c r="AS1853" s="871"/>
      <c r="AT1853" s="871"/>
      <c r="AU1853" s="871"/>
    </row>
    <row r="1854" spans="39:47" ht="17.25" customHeight="1">
      <c r="AM1854" s="1184">
        <v>22</v>
      </c>
      <c r="AN1854" s="871" t="s">
        <v>1052</v>
      </c>
      <c r="AO1854" s="871"/>
      <c r="AP1854" s="214" t="str">
        <f>IF($AR$1449&gt;$AS$1449,"у в е л и ч е н и е","н а м а л е н и е")</f>
        <v>у в е л и ч е н и е</v>
      </c>
      <c r="AQ1854" s="214"/>
      <c r="AR1854" s="871" t="s">
        <v>1537</v>
      </c>
      <c r="AS1854" s="871"/>
      <c r="AT1854" s="214" t="str">
        <f>IF($AT$1449&gt;0,"вливане","изтичане")</f>
        <v>изтичане</v>
      </c>
      <c r="AU1854" s="871" t="s">
        <v>1053</v>
      </c>
    </row>
    <row r="1855" spans="39:47" ht="17.25" customHeight="1">
      <c r="AM1855" s="871" t="s">
        <v>1054</v>
      </c>
      <c r="AN1855" s="871"/>
      <c r="AO1855" s="871"/>
      <c r="AP1855" s="871">
        <f>ABS($AT$1449)</f>
        <v>1853</v>
      </c>
      <c r="AQ1855" s="871" t="s">
        <v>1055</v>
      </c>
      <c r="AR1855" s="871"/>
      <c r="AS1855" s="871"/>
      <c r="AT1855" s="871"/>
      <c r="AU1855" s="871"/>
    </row>
    <row r="1856" spans="39:58" ht="17.25" customHeight="1">
      <c r="AM1856" s="1184">
        <v>23</v>
      </c>
      <c r="AN1856" s="871" t="s">
        <v>588</v>
      </c>
      <c r="AO1856" s="214" t="str">
        <f>IF($AR$1448&gt;$AS$1448,"у в е л и ч е н и е","н а м а л е н и е")</f>
        <v>у в е л и ч е н и е</v>
      </c>
      <c r="AP1856" s="214"/>
      <c r="AQ1856" s="871" t="s">
        <v>1538</v>
      </c>
      <c r="AR1856" s="871"/>
      <c r="AS1856" s="608"/>
      <c r="AT1856" s="214" t="str">
        <f>IF($AT$1448&gt;0,"вливане","изтичане")</f>
        <v>изтичане</v>
      </c>
      <c r="AU1856" s="871" t="s">
        <v>1053</v>
      </c>
      <c r="BF1856" s="600" t="str">
        <f>+' -'!$E$21</f>
        <v>Програмата за финансов анализ е лицензирана на:</v>
      </c>
    </row>
    <row r="1857" spans="39:58" ht="17.25" customHeight="1">
      <c r="AM1857" s="871" t="s">
        <v>1054</v>
      </c>
      <c r="AN1857" s="871"/>
      <c r="AO1857" s="871"/>
      <c r="AP1857" s="871">
        <f>ABS($AT$1448)</f>
        <v>647</v>
      </c>
      <c r="AQ1857" s="871" t="s">
        <v>1055</v>
      </c>
      <c r="AR1857" s="871"/>
      <c r="AS1857" s="871"/>
      <c r="AT1857" s="871"/>
      <c r="AU1857" s="871"/>
      <c r="BF1857" s="601"/>
    </row>
    <row r="1858" spans="39:58" ht="17.25" customHeight="1">
      <c r="AM1858" s="1184">
        <v>24</v>
      </c>
      <c r="AN1858" s="1485" t="str">
        <f>IF($AR$1487&gt;0,"Положителният","Отрицателният")</f>
        <v>Положителният</v>
      </c>
      <c r="AO1858" s="1485"/>
      <c r="AP1858" s="871" t="s">
        <v>1398</v>
      </c>
      <c r="AQ1858" s="871"/>
      <c r="AR1858" s="871"/>
      <c r="AS1858" s="871"/>
      <c r="AT1858" s="871"/>
      <c r="AU1858" s="871"/>
      <c r="BF1858" s="601"/>
    </row>
    <row r="1859" spans="39:58" ht="17.25" customHeight="1">
      <c r="AM1859" s="871" t="s">
        <v>1773</v>
      </c>
      <c r="AN1859" s="871"/>
      <c r="AO1859" s="871"/>
      <c r="AP1859" s="63"/>
      <c r="AQ1859" s="63"/>
      <c r="AR1859" s="224" t="str">
        <f>IF($AR$1487&lt;0,"повече","по-малко")</f>
        <v>по-малко</v>
      </c>
      <c r="AS1859" s="871" t="s">
        <v>1399</v>
      </c>
      <c r="AT1859" s="871"/>
      <c r="AU1859" s="871"/>
      <c r="BF1859" s="601"/>
    </row>
    <row r="1860" spans="39:58" ht="17.25" customHeight="1">
      <c r="AM1860" s="871" t="s">
        <v>1774</v>
      </c>
      <c r="AN1860" s="871"/>
      <c r="AO1860" s="871"/>
      <c r="AP1860" s="63"/>
      <c r="AQ1860" s="871"/>
      <c r="AR1860" s="871"/>
      <c r="AS1860" s="871"/>
      <c r="AT1860" s="871"/>
      <c r="AU1860" s="871"/>
      <c r="BF1860" s="601"/>
    </row>
    <row r="1861" spans="39:58" ht="17.25" customHeight="1">
      <c r="AM1861" s="1184">
        <v>25</v>
      </c>
      <c r="AN1861" s="871" t="s">
        <v>1775</v>
      </c>
      <c r="AO1861" s="871"/>
      <c r="AP1861" s="871"/>
      <c r="AQ1861" s="871"/>
      <c r="AR1861" s="871"/>
      <c r="AS1861" s="1228">
        <f>$AR$1488</f>
        <v>7.15921052631579</v>
      </c>
      <c r="AT1861" s="224" t="s">
        <v>1776</v>
      </c>
      <c r="AU1861" s="974">
        <f>ABS($AU$1488)</f>
        <v>0.2822466614296938</v>
      </c>
      <c r="BF1861" s="601"/>
    </row>
    <row r="1862" spans="39:58" ht="17.25" customHeight="1">
      <c r="AM1862" s="218" t="str">
        <f>IF($AU$1488&gt;0,"повече  от","по-малко  от")</f>
        <v>повече  от</v>
      </c>
      <c r="AN1862" s="871"/>
      <c r="AO1862" s="871" t="s">
        <v>1777</v>
      </c>
      <c r="AP1862" s="871"/>
      <c r="AQ1862" s="871"/>
      <c r="AR1862" s="871"/>
      <c r="AS1862" s="871"/>
      <c r="AT1862" s="871"/>
      <c r="AU1862" s="871"/>
      <c r="BF1862" s="601"/>
    </row>
    <row r="1863" spans="39:58" ht="17.25" customHeight="1">
      <c r="AM1863" s="871" t="s">
        <v>1778</v>
      </c>
      <c r="AN1863" s="871"/>
      <c r="AO1863" s="871"/>
      <c r="AP1863" s="871"/>
      <c r="AQ1863" s="871"/>
      <c r="AR1863" s="871"/>
      <c r="AS1863" s="1212">
        <f>$AR$1488*100</f>
        <v>715.921052631579</v>
      </c>
      <c r="AT1863" s="871" t="s">
        <v>1779</v>
      </c>
      <c r="AU1863" s="871"/>
      <c r="BF1863" s="601"/>
    </row>
    <row r="1864" spans="39:58" ht="17.25" customHeight="1">
      <c r="AM1864" s="871" t="s">
        <v>1780</v>
      </c>
      <c r="AN1864" s="871"/>
      <c r="AO1864" s="871"/>
      <c r="AP1864" s="871"/>
      <c r="AQ1864" s="871"/>
      <c r="AR1864" s="871"/>
      <c r="AS1864" s="871"/>
      <c r="AT1864" s="871"/>
      <c r="AU1864" s="871"/>
      <c r="BF1864" s="601"/>
    </row>
    <row r="1865" spans="39:58" ht="17.25" customHeight="1">
      <c r="AM1865" s="1184">
        <v>26</v>
      </c>
      <c r="AN1865" s="871" t="s">
        <v>1787</v>
      </c>
      <c r="AO1865" s="871"/>
      <c r="AP1865" s="871"/>
      <c r="AQ1865" s="871"/>
      <c r="AR1865" s="871"/>
      <c r="AS1865" s="871"/>
      <c r="AT1865" s="871"/>
      <c r="AU1865" s="63"/>
      <c r="BF1865" s="601"/>
    </row>
    <row r="1866" spans="39:58" ht="17.25" customHeight="1">
      <c r="AM1866" s="1212">
        <f>$AR$1494</f>
        <v>40.19391802556192</v>
      </c>
      <c r="AN1866" s="224" t="s">
        <v>1788</v>
      </c>
      <c r="AO1866" s="1212">
        <f>ABS($AR$1494-$AR$1495)</f>
        <v>241.84495886428687</v>
      </c>
      <c r="AP1866" s="224" t="s">
        <v>1789</v>
      </c>
      <c r="AQ1866" s="224" t="str">
        <f>IF($AR$1494&gt;$AR$1495,"повече","по-малко")</f>
        <v>по-малко</v>
      </c>
      <c r="AR1866" s="871" t="s">
        <v>1790</v>
      </c>
      <c r="AS1866" s="871"/>
      <c r="AT1866" s="871"/>
      <c r="AU1866" s="63"/>
      <c r="BF1866" s="601"/>
    </row>
    <row r="1867" spans="39:58" ht="17.25" customHeight="1">
      <c r="AM1867" s="63" t="s">
        <v>1791</v>
      </c>
      <c r="AN1867" s="63"/>
      <c r="AO1867" s="63"/>
      <c r="AP1867" s="63"/>
      <c r="AQ1867" s="63"/>
      <c r="AR1867" s="1212">
        <f>ABS($AT$1494)</f>
        <v>7.845138117643934</v>
      </c>
      <c r="AS1867" s="1229" t="s">
        <v>1792</v>
      </c>
      <c r="AT1867" s="224" t="str">
        <f>IF($AT$1494&gt;0,"повече","по-малко")</f>
        <v>по-малко</v>
      </c>
      <c r="AU1867" s="1229" t="s">
        <v>1793</v>
      </c>
      <c r="BF1867" s="601"/>
    </row>
    <row r="1868" spans="39:58" ht="17.25" customHeight="1">
      <c r="AM1868" s="871" t="s">
        <v>1794</v>
      </c>
      <c r="AN1868" s="871"/>
      <c r="AO1868" s="871"/>
      <c r="AP1868" s="871"/>
      <c r="AQ1868" s="871"/>
      <c r="AR1868" s="871"/>
      <c r="AS1868" s="871"/>
      <c r="AT1868" s="871"/>
      <c r="AU1868" s="871"/>
      <c r="BF1868" s="601"/>
    </row>
    <row r="1869" spans="39:58" ht="17.25" customHeight="1">
      <c r="AM1869" s="1184">
        <v>27</v>
      </c>
      <c r="AN1869" s="871" t="s">
        <v>1379</v>
      </c>
      <c r="AO1869" s="871"/>
      <c r="AP1869" s="871"/>
      <c r="AQ1869" s="1485" t="str">
        <f>$AM$513</f>
        <v>"В И Н З А В О Д"  А Д - гр. АСЕНОВГРАД</v>
      </c>
      <c r="AR1869" s="1485"/>
      <c r="AS1869" s="1485"/>
      <c r="AT1869" s="1485"/>
      <c r="AU1869" s="1212">
        <f>$AR$1492</f>
        <v>381.78933450859404</v>
      </c>
      <c r="BF1869" s="601"/>
    </row>
    <row r="1870" spans="39:58" ht="17.25" customHeight="1">
      <c r="AM1870" s="871" t="s">
        <v>1380</v>
      </c>
      <c r="AN1870" s="871"/>
      <c r="AO1870" s="871"/>
      <c r="AP1870" s="871"/>
      <c r="AQ1870" s="871"/>
      <c r="AR1870" s="871"/>
      <c r="AS1870" s="871"/>
      <c r="AT1870" s="871"/>
      <c r="AU1870" s="871"/>
      <c r="BF1870" s="601"/>
    </row>
    <row r="1871" spans="39:58" ht="17.25" customHeight="1">
      <c r="AM1871" s="871" t="s">
        <v>1381</v>
      </c>
      <c r="AN1871" s="871"/>
      <c r="AO1871" s="871"/>
      <c r="AP1871" s="1212">
        <f>$AR$1495</f>
        <v>282.0388768898488</v>
      </c>
      <c r="AQ1871" s="871" t="s">
        <v>1382</v>
      </c>
      <c r="AR1871" s="871"/>
      <c r="AS1871" s="871"/>
      <c r="AT1871" s="871"/>
      <c r="AU1871" s="871"/>
      <c r="BF1871" s="601"/>
    </row>
    <row r="1872" spans="39:58" ht="17.25" customHeight="1">
      <c r="AM1872" s="871" t="s">
        <v>1383</v>
      </c>
      <c r="AN1872" s="871"/>
      <c r="AO1872" s="871"/>
      <c r="AP1872" s="1212">
        <f>$AR$1494</f>
        <v>40.19391802556192</v>
      </c>
      <c r="AQ1872" s="871" t="s">
        <v>1384</v>
      </c>
      <c r="AR1872" s="871"/>
      <c r="AS1872" s="871"/>
      <c r="AT1872" s="871"/>
      <c r="AU1872" s="871"/>
      <c r="BF1872" s="601"/>
    </row>
    <row r="1873" spans="39:58" ht="17.25" customHeight="1">
      <c r="AM1873" s="871" t="s">
        <v>1385</v>
      </c>
      <c r="AN1873" s="871"/>
      <c r="AO1873" s="227">
        <f>$AR$1497</f>
        <v>623.6342933728808</v>
      </c>
      <c r="AP1873" s="871" t="s">
        <v>1386</v>
      </c>
      <c r="AQ1873" s="871"/>
      <c r="AR1873" s="871"/>
      <c r="AS1873" s="871"/>
      <c r="AT1873" s="871"/>
      <c r="AU1873" s="871"/>
      <c r="BF1873" s="601"/>
    </row>
    <row r="1874" spans="39:58" ht="17.25" customHeight="1">
      <c r="AM1874" s="1184">
        <v>28</v>
      </c>
      <c r="AN1874" s="871" t="s">
        <v>1795</v>
      </c>
      <c r="AO1874" s="871"/>
      <c r="AP1874" s="871"/>
      <c r="AQ1874" s="871"/>
      <c r="AR1874" s="871"/>
      <c r="AS1874" s="227">
        <f>$AR$1497</f>
        <v>623.6342933728808</v>
      </c>
      <c r="AT1874" s="218" t="s">
        <v>1796</v>
      </c>
      <c r="AU1874" s="871"/>
      <c r="BF1874" s="601"/>
    </row>
    <row r="1875" spans="39:58" ht="17.25" customHeight="1">
      <c r="AM1875" s="871" t="s">
        <v>1797</v>
      </c>
      <c r="AN1875" s="871"/>
      <c r="AO1875" s="871"/>
      <c r="AP1875" s="871"/>
      <c r="AQ1875" s="871"/>
      <c r="AR1875" s="871"/>
      <c r="AS1875" s="63"/>
      <c r="AT1875" s="1228">
        <f>$AR$1487*100</f>
        <v>171.34629229661627</v>
      </c>
      <c r="AU1875" s="224" t="s">
        <v>2183</v>
      </c>
      <c r="BF1875" s="601"/>
    </row>
    <row r="1876" spans="39:58" ht="17.25" customHeight="1">
      <c r="AM1876" s="871" t="s">
        <v>1798</v>
      </c>
      <c r="AN1876" s="871"/>
      <c r="AO1876" s="871"/>
      <c r="AP1876" s="871"/>
      <c r="AQ1876" s="871"/>
      <c r="AR1876" s="871"/>
      <c r="AS1876" s="871"/>
      <c r="AT1876" s="871"/>
      <c r="AU1876" s="1228">
        <f>$AS$1487*100</f>
        <v>141.5144936789682</v>
      </c>
      <c r="BF1876" s="601"/>
    </row>
    <row r="1877" spans="39:58" ht="17.25" customHeight="1">
      <c r="AM1877" s="871" t="s">
        <v>1799</v>
      </c>
      <c r="AN1877" s="871"/>
      <c r="AO1877" s="871"/>
      <c r="AP1877" s="871"/>
      <c r="AQ1877" s="871"/>
      <c r="AR1877" s="871"/>
      <c r="AS1877" s="871"/>
      <c r="AT1877" s="871"/>
      <c r="AU1877" s="871"/>
      <c r="BF1877" s="601"/>
    </row>
    <row r="1878" spans="39:58" ht="17.25" customHeight="1">
      <c r="AM1878" s="1184">
        <v>29</v>
      </c>
      <c r="AN1878" s="871" t="s">
        <v>1800</v>
      </c>
      <c r="AO1878" s="871"/>
      <c r="AP1878" s="871"/>
      <c r="AQ1878" s="871"/>
      <c r="AR1878" s="871"/>
      <c r="AS1878" s="871"/>
      <c r="AT1878" s="871"/>
      <c r="AU1878" s="871"/>
      <c r="BF1878" s="601"/>
    </row>
    <row r="1879" spans="39:58" ht="17.25" customHeight="1">
      <c r="AM1879" s="871" t="s">
        <v>1801</v>
      </c>
      <c r="AN1879" s="871"/>
      <c r="AO1879" s="871"/>
      <c r="AP1879" s="871"/>
      <c r="AQ1879" s="63"/>
      <c r="AR1879" s="1212">
        <f>1000000*$AR$1487</f>
        <v>1713462.9229661627</v>
      </c>
      <c r="AS1879" s="871" t="s">
        <v>1802</v>
      </c>
      <c r="AT1879" s="871"/>
      <c r="AU1879" s="871"/>
      <c r="BF1879" s="601"/>
    </row>
    <row r="1880" spans="39:58" ht="17.25" customHeight="1">
      <c r="AM1880" s="871" t="s">
        <v>1803</v>
      </c>
      <c r="AN1880" s="871"/>
      <c r="AO1880" s="871"/>
      <c r="AP1880" s="871"/>
      <c r="AQ1880" s="871"/>
      <c r="AR1880" s="871"/>
      <c r="AS1880" s="871"/>
      <c r="AT1880" s="871"/>
      <c r="AU1880" s="871"/>
      <c r="BF1880" s="601"/>
    </row>
    <row r="1881" spans="39:58" ht="17.25" customHeight="1">
      <c r="AM1881" s="1184">
        <v>30</v>
      </c>
      <c r="AN1881" s="871" t="s">
        <v>1809</v>
      </c>
      <c r="AO1881" s="871"/>
      <c r="AP1881" s="871"/>
      <c r="AQ1881" s="871"/>
      <c r="AR1881" s="871"/>
      <c r="AS1881" s="871"/>
      <c r="AT1881" s="871"/>
      <c r="AU1881" s="871"/>
      <c r="BF1881" s="601"/>
    </row>
    <row r="1882" spans="39:58" ht="17.25" customHeight="1">
      <c r="AM1882" s="871" t="s">
        <v>1810</v>
      </c>
      <c r="AN1882" s="871"/>
      <c r="AO1882" s="871"/>
      <c r="AP1882" s="871"/>
      <c r="AQ1882" s="871"/>
      <c r="AR1882" s="871"/>
      <c r="AS1882" s="871"/>
      <c r="AT1882" s="871"/>
      <c r="AU1882" s="871"/>
      <c r="BF1882" s="601"/>
    </row>
    <row r="1883" spans="39:58" ht="17.25" customHeight="1">
      <c r="AM1883" s="871" t="s">
        <v>1811</v>
      </c>
      <c r="AN1883" s="871"/>
      <c r="AO1883" s="871"/>
      <c r="AP1883" s="871"/>
      <c r="AQ1883" s="871"/>
      <c r="AR1883" s="1212">
        <f>$AR$1499</f>
        <v>6.610841780520052</v>
      </c>
      <c r="AS1883" s="871" t="s">
        <v>613</v>
      </c>
      <c r="AT1883" s="871"/>
      <c r="AU1883" s="871"/>
      <c r="BF1883" s="601"/>
    </row>
    <row r="1884" spans="39:58" ht="17.25" customHeight="1">
      <c r="AM1884" s="1184">
        <v>31</v>
      </c>
      <c r="AN1884" s="1105" t="s">
        <v>316</v>
      </c>
      <c r="AO1884" s="110"/>
      <c r="AP1884" s="110"/>
      <c r="AQ1884" s="110"/>
      <c r="AR1884" s="110"/>
      <c r="AS1884" s="1135">
        <f>$AT$1565/$AT$1552</f>
        <v>0.6879837067209776</v>
      </c>
      <c r="AT1884" s="231" t="s">
        <v>317</v>
      </c>
      <c r="AU1884" s="871"/>
      <c r="BF1884" s="600" t="str">
        <f>+' -'!$E$22</f>
        <v>"В И Н З А В О Д"  А Д - гр. АСЕНОВГРАД</v>
      </c>
    </row>
    <row r="1885" spans="39:47" ht="17.25" customHeight="1">
      <c r="AM1885" s="231" t="s">
        <v>318</v>
      </c>
      <c r="AN1885" s="1105"/>
      <c r="AO1885" s="110"/>
      <c r="AP1885" s="110"/>
      <c r="AQ1885" s="110"/>
      <c r="AR1885" s="110"/>
      <c r="AS1885" s="110"/>
      <c r="AT1885" s="110"/>
      <c r="AU1885" s="871"/>
    </row>
    <row r="1886" spans="39:47" ht="17.25" customHeight="1">
      <c r="AM1886" s="231" t="s">
        <v>319</v>
      </c>
      <c r="AN1886" s="1105"/>
      <c r="AO1886" s="231" t="str">
        <f>IF($AT$1565&gt;$AT$1552,"и  от  краткосрочни  източници."," само  от  дългосрочни  източници.")</f>
        <v> само  от  дългосрочни  източници.</v>
      </c>
      <c r="AP1886" s="215"/>
      <c r="AQ1886" s="871"/>
      <c r="AR1886" s="110"/>
      <c r="AS1886" s="110"/>
      <c r="AT1886" s="110"/>
      <c r="AU1886" s="871"/>
    </row>
    <row r="1887" spans="39:47" ht="17.25" customHeight="1">
      <c r="AM1887" s="231"/>
      <c r="AN1887" s="1105" t="str">
        <f>IF($AT$1565&gt;$AT$1552," Този подход на работа води до влошаване на показателите за ликвидност.","  В тази ситуация фирмата ще бъде притеснена при бърз темп на инфлация.")</f>
        <v>  В тази ситуация фирмата ще бъде притеснена при бърз темп на инфлация.</v>
      </c>
      <c r="AO1887" s="110"/>
      <c r="AP1887" s="110"/>
      <c r="AQ1887" s="110"/>
      <c r="AR1887" s="110"/>
      <c r="AS1887" s="110"/>
      <c r="AT1887" s="110"/>
      <c r="AU1887" s="871"/>
    </row>
    <row r="1888" spans="39:47" ht="9.75" customHeight="1">
      <c r="AM1888" s="231"/>
      <c r="AN1888" s="1105"/>
      <c r="AO1888" s="110"/>
      <c r="AP1888" s="110"/>
      <c r="AQ1888" s="110"/>
      <c r="AR1888" s="110"/>
      <c r="AS1888" s="110"/>
      <c r="AT1888" s="110"/>
      <c r="AU1888" s="871"/>
    </row>
    <row r="1889" spans="39:47" ht="19.5" customHeight="1">
      <c r="AM1889" s="1184">
        <v>32</v>
      </c>
      <c r="AN1889" s="1105" t="s">
        <v>320</v>
      </c>
      <c r="AO1889" s="110"/>
      <c r="AP1889" s="110"/>
      <c r="AQ1889" s="110"/>
      <c r="AR1889" s="110"/>
      <c r="AS1889" s="1135">
        <f>$AT$1572/$AT$1561</f>
        <v>-1.7067137809187278</v>
      </c>
      <c r="AT1889" s="231" t="s">
        <v>321</v>
      </c>
      <c r="AU1889" s="871"/>
    </row>
    <row r="1890" spans="39:47" ht="19.5" customHeight="1">
      <c r="AM1890" s="231" t="s">
        <v>322</v>
      </c>
      <c r="AN1890" s="1105"/>
      <c r="AO1890" s="110"/>
      <c r="AP1890" s="110"/>
      <c r="AQ1890" s="110"/>
      <c r="AR1890" s="110"/>
      <c r="AS1890" s="110"/>
      <c r="AT1890" s="110"/>
      <c r="AU1890" s="871"/>
    </row>
    <row r="1891" spans="39:47" ht="19.5" customHeight="1">
      <c r="AM1891" s="231" t="s">
        <v>1717</v>
      </c>
      <c r="AN1891" s="1105"/>
      <c r="AO1891" s="110"/>
      <c r="AP1891" s="231" t="str">
        <f>IF($AT$1572&gt;$AT$1561,"и  от  дългосрочни  източници."," само  от  краткосрочни  източници.")</f>
        <v>и  от  дългосрочни  източници.</v>
      </c>
      <c r="AQ1891" s="871"/>
      <c r="AR1891" s="110"/>
      <c r="AS1891" s="110"/>
      <c r="AT1891" s="110"/>
      <c r="AU1891" s="871"/>
    </row>
    <row r="1892" spans="39:47" ht="19.5" customHeight="1">
      <c r="AM1892" s="1184">
        <v>33</v>
      </c>
      <c r="AN1892" s="1105"/>
      <c r="AT1892" s="110"/>
      <c r="AU1892" s="1197" t="str">
        <f>AU1611</f>
        <v>хил. лв:</v>
      </c>
    </row>
    <row r="1893" spans="39:47" ht="19.5" customHeight="1">
      <c r="AM1893" s="231"/>
      <c r="AN1893" s="1105"/>
      <c r="AO1893" s="110" t="str">
        <f>AO1612</f>
        <v>Финансов резултат -</v>
      </c>
      <c r="AP1893" s="231"/>
      <c r="AQ1893" s="871" t="str">
        <f>AQ1612</f>
        <v>печалба</v>
      </c>
      <c r="AR1893" s="110"/>
      <c r="AS1893" s="110"/>
      <c r="AT1893" s="110"/>
      <c r="AU1893" s="1198">
        <f>AT1612</f>
        <v>103</v>
      </c>
    </row>
    <row r="1894" spans="39:47" ht="19.5" customHeight="1">
      <c r="AM1894" s="231"/>
      <c r="AN1894" s="1105"/>
      <c r="AO1894" s="110" t="str">
        <f>AO1613</f>
        <v>Наличност на парични средства в края на периода</v>
      </c>
      <c r="AP1894" s="231"/>
      <c r="AQ1894" s="871"/>
      <c r="AR1894" s="110"/>
      <c r="AS1894" s="110"/>
      <c r="AT1894" s="110"/>
      <c r="AU1894" s="1198">
        <f>AT1613</f>
        <v>125</v>
      </c>
    </row>
    <row r="1895" spans="40:47" ht="19.5" customHeight="1">
      <c r="AN1895" s="1140" t="str">
        <f>+$AN$1615</f>
        <v>    Наличието  на  положителен  финансов  резултат  и  на  парични  наличности  през</v>
      </c>
      <c r="AO1895" s="22"/>
      <c r="AP1895" s="22"/>
      <c r="AQ1895" s="22"/>
      <c r="AR1895" s="22"/>
      <c r="AS1895" s="22"/>
      <c r="AT1895" s="22"/>
      <c r="AU1895" s="22"/>
    </row>
    <row r="1896" spans="39:47" ht="19.5" customHeight="1">
      <c r="AM1896" s="1140" t="str">
        <f>$AM$1616</f>
        <v>анализирания период е добър индикатор за дейността  и  състоянието на фирмата.</v>
      </c>
      <c r="AN1896" s="264"/>
      <c r="AO1896" s="22"/>
      <c r="AP1896" s="22"/>
      <c r="AQ1896" s="22"/>
      <c r="AR1896" s="22"/>
      <c r="AS1896" s="22"/>
      <c r="AT1896" s="22"/>
      <c r="AU1896" s="22"/>
    </row>
    <row r="1897" spans="39:47" ht="19.5" customHeight="1">
      <c r="AM1897" s="1184">
        <v>34</v>
      </c>
      <c r="AN1897" s="110" t="str">
        <f>$AM$513</f>
        <v>"В И Н З А В О Д"  А Д - гр. АСЕНОВГРАД</v>
      </c>
      <c r="AO1897" s="110"/>
      <c r="AP1897" s="110"/>
      <c r="AQ1897" s="110"/>
      <c r="AR1897" s="1186"/>
      <c r="AS1897" s="22"/>
      <c r="AT1897" s="22"/>
      <c r="AU1897" s="22"/>
    </row>
    <row r="1898" spans="39:47" ht="19.5" customHeight="1">
      <c r="AM1898" s="1186" t="s">
        <v>1539</v>
      </c>
      <c r="AN1898" s="110" t="str">
        <f>IF($R$294&gt;=0,"  п о л о ж и т е л е н","  о т р и ц а т е л е н")</f>
        <v>  о т р и ц а т е л е н</v>
      </c>
      <c r="AO1898" s="110"/>
      <c r="AP1898" s="968" t="s">
        <v>1205</v>
      </c>
      <c r="AQ1898" s="110"/>
      <c r="AR1898" s="110"/>
      <c r="AS1898" s="110"/>
      <c r="AT1898" s="1175"/>
      <c r="AU1898" s="1175"/>
    </row>
    <row r="1899" spans="39:47" ht="19.5" customHeight="1">
      <c r="AM1899" s="1187" t="s">
        <v>1209</v>
      </c>
      <c r="AN1899" s="1174"/>
      <c r="AO1899" s="110" t="str">
        <f>IF($AU$1620&gt;$AU$1621,"че  фирмата    е    реализирала    възможността    да    генерира    пари    от","че  фирмата   не   е    реализирала  възможността   да   генерира   пари   от")</f>
        <v>че  фирмата   не   е    реализирала  възможността   да   генерира   пари   от</v>
      </c>
      <c r="AP1899" s="110"/>
      <c r="AQ1899" s="110"/>
      <c r="AR1899" s="110"/>
      <c r="AS1899" s="110"/>
      <c r="AT1899" s="110"/>
      <c r="AU1899" s="1175"/>
    </row>
    <row r="1900" spans="39:47" ht="19.5" customHeight="1">
      <c r="AM1900" s="110" t="s">
        <v>1206</v>
      </c>
      <c r="AO1900" s="110"/>
      <c r="AP1900" s="110"/>
      <c r="AQ1900" s="110"/>
      <c r="AR1900" s="110"/>
      <c r="AS1900" s="110"/>
      <c r="AT1900" s="110"/>
      <c r="AU1900" s="1175"/>
    </row>
    <row r="1901" spans="39:47" ht="19.5" customHeight="1">
      <c r="AM1901" s="110" t="s">
        <v>1207</v>
      </c>
      <c r="AO1901" s="110"/>
      <c r="AP1901" s="110"/>
      <c r="AQ1901" s="110"/>
      <c r="AR1901" s="110"/>
      <c r="AS1901" s="110"/>
      <c r="AT1901" s="110"/>
      <c r="AU1901" s="1175"/>
    </row>
    <row r="1902" spans="39:47" ht="19.5" customHeight="1">
      <c r="AM1902" s="110" t="s">
        <v>1208</v>
      </c>
      <c r="AO1902" s="110"/>
      <c r="AP1902" s="110"/>
      <c r="AQ1902" s="110"/>
      <c r="AR1902" s="110"/>
      <c r="AS1902" s="110"/>
      <c r="AT1902" s="110"/>
      <c r="AU1902" s="1175"/>
    </row>
    <row r="1903" spans="39:47" ht="19.5" customHeight="1">
      <c r="AM1903" s="110" t="s">
        <v>1204</v>
      </c>
      <c r="AO1903" s="110"/>
      <c r="AP1903" s="110"/>
      <c r="AQ1903" s="110"/>
      <c r="AR1903" s="110"/>
      <c r="AS1903" s="110"/>
      <c r="AT1903" s="110"/>
      <c r="AU1903" s="1175"/>
    </row>
    <row r="1904" spans="39:47" ht="19.5" customHeight="1" hidden="1">
      <c r="AM1904" s="1184">
        <v>35</v>
      </c>
      <c r="AN1904" s="1193" t="s">
        <v>1210</v>
      </c>
      <c r="AO1904" s="110"/>
      <c r="AP1904" s="110"/>
      <c r="AQ1904" s="110"/>
      <c r="AR1904" s="110"/>
      <c r="AS1904" s="110"/>
      <c r="AT1904" s="110"/>
      <c r="AU1904" s="10"/>
    </row>
    <row r="1905" spans="39:47" ht="35.25" customHeight="1" hidden="1">
      <c r="AM1905" s="1188"/>
      <c r="AN1905" s="1194">
        <f>$AN$1686</f>
        <v>0</v>
      </c>
      <c r="AO1905" s="1141"/>
      <c r="AP1905" s="1141"/>
      <c r="AQ1905" s="1141"/>
      <c r="AR1905" s="1141"/>
      <c r="AS1905" s="1141"/>
      <c r="AT1905" s="215"/>
      <c r="AU1905" s="10"/>
    </row>
    <row r="1906" spans="39:47" ht="19.5" customHeight="1" hidden="1">
      <c r="AM1906" s="608"/>
      <c r="AN1906" s="608" t="s">
        <v>984</v>
      </c>
      <c r="AO1906" s="608"/>
      <c r="AP1906" s="608"/>
      <c r="AQ1906" s="608"/>
      <c r="AR1906" s="608"/>
      <c r="AS1906" s="608"/>
      <c r="AT1906" s="608"/>
      <c r="AU1906" s="608"/>
    </row>
    <row r="1907" spans="39:47" ht="19.5" customHeight="1" hidden="1">
      <c r="AM1907" s="608" t="s">
        <v>985</v>
      </c>
      <c r="AN1907" s="608"/>
      <c r="AO1907" s="608"/>
      <c r="AP1907" s="608"/>
      <c r="AQ1907" s="608"/>
      <c r="AR1907" s="608"/>
      <c r="AS1907" s="608"/>
      <c r="AT1907" s="608"/>
      <c r="AU1907" s="907">
        <f>AS1682</f>
        <v>2.357023198637375</v>
      </c>
    </row>
    <row r="1908" spans="39:47" ht="19.5" customHeight="1" hidden="1">
      <c r="AM1908" s="608" t="s">
        <v>1158</v>
      </c>
      <c r="AN1908" s="907">
        <f>AT1682</f>
        <v>3.168471839820224</v>
      </c>
      <c r="AO1908" s="1505" t="s">
        <v>986</v>
      </c>
      <c r="AP1908" s="1505"/>
      <c r="AQ1908" s="1505"/>
      <c r="AR1908" s="907">
        <f>AU1907-AN1908</f>
        <v>-0.811448641182849</v>
      </c>
      <c r="AS1908" s="644" t="str">
        <f>IF(AU1907&gt;=AN1908,"повече.","по-малко.")</f>
        <v>по-малко.</v>
      </c>
      <c r="AT1908" s="608" t="s">
        <v>987</v>
      </c>
      <c r="AU1908" s="608"/>
    </row>
    <row r="1909" spans="39:47" ht="19.5" customHeight="1" hidden="1">
      <c r="AM1909" s="608" t="s">
        <v>988</v>
      </c>
      <c r="AN1909" s="608"/>
      <c r="AO1909" s="608"/>
      <c r="AP1909" s="608"/>
      <c r="AQ1909" s="608"/>
      <c r="AR1909" s="608"/>
      <c r="AS1909" s="608"/>
      <c r="AT1909" s="608"/>
      <c r="AU1909" s="608"/>
    </row>
    <row r="1910" spans="39:47" ht="19.5" customHeight="1" hidden="1">
      <c r="AM1910" s="644"/>
      <c r="AN1910" s="760" t="str">
        <f>IF(AS1667&gt;=AT1667,"- увеличение    на","- намаление     на")</f>
        <v>- увеличение    на</v>
      </c>
      <c r="AO1910" s="760"/>
      <c r="AP1910" s="608" t="s">
        <v>989</v>
      </c>
      <c r="AQ1910" s="608"/>
      <c r="AR1910" s="608"/>
      <c r="AS1910" s="608"/>
      <c r="AT1910" s="907">
        <f>FH1684</f>
        <v>0.04391986333281572</v>
      </c>
      <c r="AU1910" s="608"/>
    </row>
    <row r="1911" spans="39:47" ht="19.5" customHeight="1" hidden="1">
      <c r="AM1911" s="644"/>
      <c r="AN1911" s="760" t="str">
        <f aca="true" t="shared" si="77" ref="AN1911:AN1916">IF(AS1669&gt;=AT1669,"- увеличение    на","- намаление     на")</f>
        <v>- увеличение    на</v>
      </c>
      <c r="AO1911" s="760"/>
      <c r="AP1911" s="608" t="s">
        <v>990</v>
      </c>
      <c r="AQ1911" s="608"/>
      <c r="AR1911" s="608"/>
      <c r="AS1911" s="608"/>
      <c r="AT1911" s="907">
        <f>FI1684</f>
        <v>-0.1227916296141176</v>
      </c>
      <c r="AU1911" s="608"/>
    </row>
    <row r="1912" spans="39:47" ht="19.5" customHeight="1" hidden="1">
      <c r="AM1912" s="644"/>
      <c r="AN1912" s="760" t="str">
        <f t="shared" si="77"/>
        <v>- увеличение    на</v>
      </c>
      <c r="AO1912" s="760"/>
      <c r="AP1912" s="608" t="s">
        <v>991</v>
      </c>
      <c r="AQ1912" s="608"/>
      <c r="AR1912" s="608"/>
      <c r="AS1912" s="608"/>
      <c r="AT1912" s="907">
        <f>FJ1684</f>
        <v>0</v>
      </c>
      <c r="AU1912" s="608"/>
    </row>
    <row r="1913" spans="39:47" ht="19.5" customHeight="1" hidden="1">
      <c r="AM1913" s="644"/>
      <c r="AN1913" s="760" t="str">
        <f t="shared" si="77"/>
        <v>- намаление     на</v>
      </c>
      <c r="AO1913" s="760"/>
      <c r="AP1913" s="608" t="s">
        <v>992</v>
      </c>
      <c r="AQ1913" s="608"/>
      <c r="AR1913" s="608"/>
      <c r="AS1913" s="608"/>
      <c r="AT1913" s="907">
        <f>FK1684</f>
        <v>-0.04898785425101204</v>
      </c>
      <c r="AU1913" s="608"/>
    </row>
    <row r="1914" spans="39:47" ht="19.5" customHeight="1" hidden="1">
      <c r="AM1914" s="644"/>
      <c r="AN1914" s="760" t="str">
        <f t="shared" si="77"/>
        <v>- увеличение    на</v>
      </c>
      <c r="AO1914" s="760"/>
      <c r="AP1914" s="608" t="s">
        <v>993</v>
      </c>
      <c r="AQ1914" s="608"/>
      <c r="AR1914" s="608"/>
      <c r="AS1914" s="608"/>
      <c r="AT1914" s="907">
        <f>FL1684</f>
        <v>0.003899596593455623</v>
      </c>
      <c r="AU1914" s="608"/>
    </row>
    <row r="1915" spans="39:47" ht="19.5" customHeight="1" hidden="1">
      <c r="AM1915" s="644"/>
      <c r="AN1915" s="760" t="str">
        <f t="shared" si="77"/>
        <v>- намаление     на</v>
      </c>
      <c r="AO1915" s="760"/>
      <c r="AP1915" s="608" t="s">
        <v>128</v>
      </c>
      <c r="AQ1915" s="608"/>
      <c r="AR1915" s="608"/>
      <c r="AS1915" s="608"/>
      <c r="AT1915" s="907">
        <f>FM1684</f>
        <v>-0.03812089906463756</v>
      </c>
      <c r="AU1915" s="608"/>
    </row>
    <row r="1916" spans="39:47" ht="19.5" customHeight="1" hidden="1">
      <c r="AM1916" s="644"/>
      <c r="AN1916" s="760" t="str">
        <f t="shared" si="77"/>
        <v>- увеличение    на</v>
      </c>
      <c r="AO1916" s="760"/>
      <c r="AP1916" s="608" t="s">
        <v>994</v>
      </c>
      <c r="AQ1916" s="608"/>
      <c r="AR1916" s="608"/>
      <c r="AS1916" s="1384"/>
      <c r="AT1916" s="1385">
        <f>FN1684</f>
        <v>-0.6493677181793531</v>
      </c>
      <c r="AU1916" s="608"/>
    </row>
    <row r="1917" spans="39:47" ht="19.5" customHeight="1" hidden="1">
      <c r="AM1917" s="608"/>
      <c r="AN1917" s="608"/>
      <c r="AO1917" s="608"/>
      <c r="AP1917" s="608"/>
      <c r="AQ1917" s="608"/>
      <c r="AR1917" s="608"/>
      <c r="AS1917" s="1386" t="s">
        <v>2334</v>
      </c>
      <c r="AT1917" s="907">
        <f>SUM(AT1910:AT1916)</f>
        <v>-0.811448641182849</v>
      </c>
      <c r="AU1917" s="608"/>
    </row>
    <row r="1918" spans="39:47" ht="41.25" customHeight="1" hidden="1">
      <c r="AM1918" s="1188"/>
      <c r="AN1918" s="1194"/>
      <c r="AO1918" s="1141"/>
      <c r="AP1918" s="1141"/>
      <c r="AQ1918" s="1141"/>
      <c r="AR1918" s="1141"/>
      <c r="AS1918" s="1141"/>
      <c r="AT1918" s="215"/>
      <c r="AU1918" s="10"/>
    </row>
    <row r="1919" spans="39:47" ht="27.75" customHeight="1" hidden="1">
      <c r="AM1919" s="229"/>
      <c r="AN1919" s="229"/>
      <c r="AO1919" s="229"/>
      <c r="AP1919" s="229"/>
      <c r="AQ1919" s="768" t="s">
        <v>1142</v>
      </c>
      <c r="AR1919" s="768"/>
      <c r="AS1919" s="229"/>
      <c r="AT1919" s="229"/>
      <c r="AU1919" s="10"/>
    </row>
    <row r="1920" spans="39:47" ht="27.75" customHeight="1" hidden="1">
      <c r="AM1920" s="1538">
        <f>B171</f>
        <v>39898.06679247685</v>
      </c>
      <c r="AN1920" s="1538"/>
      <c r="AO1920" s="1538"/>
      <c r="AP1920" s="229"/>
      <c r="AQ1920" s="229"/>
      <c r="AR1920" s="229"/>
      <c r="AS1920" s="229"/>
      <c r="AT1920" s="229"/>
      <c r="AU1920" s="10"/>
    </row>
    <row r="1921" spans="39:47" ht="24.75" customHeight="1" hidden="1">
      <c r="AM1921" s="229"/>
      <c r="AN1921" s="229"/>
      <c r="AO1921" s="229"/>
      <c r="AP1921" s="229"/>
      <c r="AQ1921" s="768" t="s">
        <v>1140</v>
      </c>
      <c r="AR1921" s="229"/>
      <c r="AS1921" s="229"/>
      <c r="AT1921" s="229"/>
      <c r="AU1921" s="1175"/>
    </row>
    <row r="1922" ht="21.75" customHeight="1"/>
    <row r="1923" ht="34.5" customHeight="1"/>
    <row r="1924" spans="40:47" ht="18.75" customHeight="1">
      <c r="AN1924" s="600" t="str">
        <f>+' -'!$E$21</f>
        <v>Програмата за финансов анализ е лицензирана на:</v>
      </c>
      <c r="AO1924" s="1141"/>
      <c r="AP1924" s="1141"/>
      <c r="AQ1924" s="1141"/>
      <c r="AR1924" s="1141"/>
      <c r="AS1924" s="1141"/>
      <c r="AT1924" s="215"/>
      <c r="AU1924" s="10"/>
    </row>
    <row r="1925" spans="40:47" ht="18.75" customHeight="1">
      <c r="AN1925" s="601"/>
      <c r="AO1925" s="1141"/>
      <c r="AP1925" s="1141"/>
      <c r="AQ1925" s="1141"/>
      <c r="AR1925" s="1141"/>
      <c r="AS1925" s="1141"/>
      <c r="AT1925" s="215"/>
      <c r="AU1925" s="10"/>
    </row>
    <row r="1926" spans="40:47" ht="18.75" customHeight="1">
      <c r="AN1926" s="600" t="str">
        <f>+' -'!$E$22</f>
        <v>"В И Н З А В О Д"  А Д - гр. АСЕНОВГРАД</v>
      </c>
      <c r="AO1926" s="1141"/>
      <c r="AP1926" s="1141"/>
      <c r="AQ1926" s="1141"/>
      <c r="AR1926" s="1141"/>
      <c r="AS1926" s="1141"/>
      <c r="AT1926" s="215"/>
      <c r="AU1926" s="10"/>
    </row>
    <row r="1927" spans="40:47" ht="18" customHeight="1">
      <c r="AN1927" s="110"/>
      <c r="AO1927" s="110"/>
      <c r="AP1927" s="110"/>
      <c r="AQ1927" s="110"/>
      <c r="AR1927" s="110"/>
      <c r="AS1927" s="110"/>
      <c r="AT1927" s="110"/>
      <c r="AU1927" s="10"/>
    </row>
    <row r="1928" spans="39:44" ht="18" customHeight="1">
      <c r="AM1928" s="67" t="s">
        <v>582</v>
      </c>
      <c r="AN1928" s="67"/>
      <c r="AO1928" s="67"/>
      <c r="AP1928" s="67"/>
      <c r="AQ1928" s="67"/>
      <c r="AR1928" s="67"/>
    </row>
    <row r="1929" spans="39:44" ht="25.5">
      <c r="AM1929" s="237" t="s">
        <v>1612</v>
      </c>
      <c r="AN1929" s="238" t="s">
        <v>1613</v>
      </c>
      <c r="AO1929" s="239"/>
      <c r="AP1929" s="240"/>
      <c r="AQ1929" s="244" t="s">
        <v>1673</v>
      </c>
      <c r="AR1929" s="241" t="s">
        <v>1672</v>
      </c>
    </row>
    <row r="1930" spans="39:44" ht="18" customHeight="1">
      <c r="AM1930" s="74">
        <v>1</v>
      </c>
      <c r="AN1930" s="18"/>
      <c r="AO1930" s="18"/>
      <c r="AP1930" s="20" t="s">
        <v>2454</v>
      </c>
      <c r="AQ1930" s="20">
        <f>D130</f>
        <v>13840</v>
      </c>
      <c r="AR1930" s="20">
        <f>E130</f>
        <v>13752</v>
      </c>
    </row>
    <row r="1931" spans="39:45" ht="18" customHeight="1">
      <c r="AM1931" s="74">
        <v>2</v>
      </c>
      <c r="AN1931" s="18"/>
      <c r="AO1931" s="18"/>
      <c r="AP1931" s="20" t="s">
        <v>396</v>
      </c>
      <c r="AQ1931" s="20">
        <f>D131</f>
        <v>0</v>
      </c>
      <c r="AR1931" s="20">
        <f>E131</f>
        <v>0</v>
      </c>
      <c r="AS1931" s="64"/>
    </row>
    <row r="1932" spans="39:44" ht="18" customHeight="1">
      <c r="AM1932" s="74">
        <v>3</v>
      </c>
      <c r="AN1932" s="18"/>
      <c r="AO1932" s="18"/>
      <c r="AP1932" s="20" t="s">
        <v>583</v>
      </c>
      <c r="AQ1932" s="20">
        <f>D144+D166</f>
        <v>7649</v>
      </c>
      <c r="AR1932" s="20">
        <f>E144+E166</f>
        <v>5565</v>
      </c>
    </row>
    <row r="1933" spans="39:44" ht="18" customHeight="1">
      <c r="AM1933" s="18"/>
      <c r="AN1933" s="18"/>
      <c r="AO1933" s="18"/>
      <c r="AP1933" s="18"/>
      <c r="AQ1933" s="18"/>
      <c r="AR1933" s="18"/>
    </row>
    <row r="1934" spans="39:44" ht="18" customHeight="1">
      <c r="AM1934" s="67" t="s">
        <v>2454</v>
      </c>
      <c r="AN1934" s="67"/>
      <c r="AO1934" s="67"/>
      <c r="AP1934" s="67"/>
      <c r="AQ1934" s="67"/>
      <c r="AR1934" s="67"/>
    </row>
    <row r="1935" spans="39:46" ht="25.5">
      <c r="AM1935" s="237" t="s">
        <v>1612</v>
      </c>
      <c r="AN1935" s="238" t="s">
        <v>1613</v>
      </c>
      <c r="AO1935" s="239"/>
      <c r="AP1935" s="240"/>
      <c r="AQ1935" s="244" t="s">
        <v>1673</v>
      </c>
      <c r="AR1935" s="241" t="s">
        <v>1672</v>
      </c>
      <c r="AT1935" s="600" t="str">
        <f>+' -'!$E$21</f>
        <v>Програмата за финансов анализ е лицензирана на:</v>
      </c>
    </row>
    <row r="1936" spans="39:46" ht="18" customHeight="1">
      <c r="AM1936" s="74">
        <v>1</v>
      </c>
      <c r="AN1936" s="18"/>
      <c r="AO1936" s="18"/>
      <c r="AP1936" s="20" t="s">
        <v>555</v>
      </c>
      <c r="AQ1936" s="20">
        <f>D114</f>
        <v>10017</v>
      </c>
      <c r="AR1936" s="20">
        <f>E114</f>
        <v>10017</v>
      </c>
      <c r="AT1936" s="601"/>
    </row>
    <row r="1937" spans="39:46" ht="18" customHeight="1">
      <c r="AM1937" s="74">
        <v>2</v>
      </c>
      <c r="AN1937" s="18"/>
      <c r="AO1937" s="18"/>
      <c r="AP1937" s="20" t="s">
        <v>1617</v>
      </c>
      <c r="AQ1937" s="20">
        <f>D122</f>
        <v>3720</v>
      </c>
      <c r="AR1937" s="20">
        <f>E122</f>
        <v>3310</v>
      </c>
      <c r="AT1937" s="600" t="str">
        <f>+' -'!$E$22</f>
        <v>"В И Н З А В О Д"  А Д - гр. АСЕНОВГРАД</v>
      </c>
    </row>
    <row r="1938" spans="39:44" ht="18" customHeight="1">
      <c r="AM1938" s="74">
        <v>3</v>
      </c>
      <c r="AN1938" s="18"/>
      <c r="AO1938" s="18"/>
      <c r="AP1938" s="20" t="s">
        <v>1146</v>
      </c>
      <c r="AQ1938" s="20">
        <f>D129</f>
        <v>103</v>
      </c>
      <c r="AR1938" s="20">
        <f>E129</f>
        <v>425</v>
      </c>
    </row>
    <row r="1939" spans="39:44" ht="18" customHeight="1">
      <c r="AM1939" s="18"/>
      <c r="AN1939" s="18"/>
      <c r="AO1939" s="18"/>
      <c r="AP1939" s="18"/>
      <c r="AQ1939" s="18"/>
      <c r="AR1939" s="18"/>
    </row>
    <row r="1940" spans="39:44" ht="18" customHeight="1">
      <c r="AM1940" s="67" t="s">
        <v>710</v>
      </c>
      <c r="AN1940" s="67"/>
      <c r="AO1940" s="67"/>
      <c r="AP1940" s="67"/>
      <c r="AQ1940" s="67"/>
      <c r="AR1940" s="67"/>
    </row>
    <row r="1941" spans="39:44" ht="25.5">
      <c r="AM1941" s="237" t="s">
        <v>1612</v>
      </c>
      <c r="AN1941" s="238" t="s">
        <v>1613</v>
      </c>
      <c r="AO1941" s="239"/>
      <c r="AP1941" s="240"/>
      <c r="AQ1941" s="244" t="s">
        <v>1673</v>
      </c>
      <c r="AR1941" s="241" t="s">
        <v>1672</v>
      </c>
    </row>
    <row r="1942" spans="39:44" ht="18" customHeight="1">
      <c r="AM1942" s="74">
        <v>2</v>
      </c>
      <c r="AN1942" s="78"/>
      <c r="AO1942" s="18"/>
      <c r="AP1942" s="20" t="s">
        <v>26</v>
      </c>
      <c r="AQ1942" s="249">
        <f>D58/D98</f>
        <v>0.4039275908604402</v>
      </c>
      <c r="AR1942" s="249">
        <f>E58/E98</f>
        <v>0.3619091991510069</v>
      </c>
    </row>
    <row r="1943" spans="39:44" ht="18" customHeight="1">
      <c r="AM1943" s="74">
        <v>3</v>
      </c>
      <c r="AN1943" s="18"/>
      <c r="AO1943" s="18"/>
      <c r="AP1943" s="20" t="s">
        <v>28</v>
      </c>
      <c r="AQ1943" s="249">
        <f>D97/D98</f>
        <v>0.5960724091395597</v>
      </c>
      <c r="AR1943" s="249">
        <f>E97/E98</f>
        <v>0.6380908008489932</v>
      </c>
    </row>
    <row r="1944" spans="39:44" ht="18" customHeight="1">
      <c r="AM1944" s="74"/>
      <c r="AN1944" s="18"/>
      <c r="AO1944" s="18"/>
      <c r="AP1944" s="20"/>
      <c r="AQ1944" s="75"/>
      <c r="AR1944" s="75"/>
    </row>
    <row r="1945" spans="39:44" ht="18" customHeight="1">
      <c r="AM1945" s="67" t="s">
        <v>2324</v>
      </c>
      <c r="AN1945" s="67"/>
      <c r="AO1945" s="67"/>
      <c r="AP1945" s="67"/>
      <c r="AQ1945" s="67"/>
      <c r="AR1945" s="67"/>
    </row>
    <row r="1946" spans="39:44" ht="25.5">
      <c r="AM1946" s="237" t="s">
        <v>1612</v>
      </c>
      <c r="AN1946" s="238" t="s">
        <v>1613</v>
      </c>
      <c r="AO1946" s="239"/>
      <c r="AP1946" s="240"/>
      <c r="AQ1946" s="244" t="s">
        <v>1673</v>
      </c>
      <c r="AR1946" s="241" t="s">
        <v>1672</v>
      </c>
    </row>
    <row r="1947" spans="39:44" ht="18" customHeight="1">
      <c r="AM1947" s="74">
        <v>1</v>
      </c>
      <c r="AN1947" s="78"/>
      <c r="AO1947" s="18"/>
      <c r="AP1947" s="20" t="s">
        <v>377</v>
      </c>
      <c r="AQ1947" s="249">
        <f>D20/D98</f>
        <v>0.31518451300665457</v>
      </c>
      <c r="AR1947" s="249">
        <f>E20/E98</f>
        <v>0.36159859191385824</v>
      </c>
    </row>
    <row r="1948" spans="39:44" ht="18" customHeight="1">
      <c r="AM1948" s="74">
        <v>2</v>
      </c>
      <c r="AN1948" s="78"/>
      <c r="AO1948" s="18"/>
      <c r="AP1948" s="20" t="s">
        <v>378</v>
      </c>
      <c r="AQ1948" s="249">
        <f>D26/D98</f>
        <v>4.653543673507376E-05</v>
      </c>
      <c r="AR1948" s="249">
        <f>E26/E98</f>
        <v>0.00031060723714862557</v>
      </c>
    </row>
    <row r="1949" spans="39:44" ht="18" customHeight="1">
      <c r="AM1949" s="74">
        <v>3</v>
      </c>
      <c r="AN1949" s="78"/>
      <c r="AO1949" s="18"/>
      <c r="AP1949" s="20" t="s">
        <v>2181</v>
      </c>
      <c r="AQ1949" s="249">
        <f>D45/D98</f>
        <v>0.08869654241705058</v>
      </c>
      <c r="AR1949" s="249">
        <f>E45/E98</f>
        <v>0</v>
      </c>
    </row>
    <row r="1950" spans="39:44" ht="18" customHeight="1">
      <c r="AM1950" s="74">
        <v>4</v>
      </c>
      <c r="AN1950" s="78"/>
      <c r="AO1950" s="18"/>
      <c r="AP1950" s="20" t="s">
        <v>2333</v>
      </c>
      <c r="AQ1950" s="249">
        <f>D55/D98</f>
        <v>0</v>
      </c>
      <c r="AR1950" s="249">
        <f>E55/E98</f>
        <v>0</v>
      </c>
    </row>
    <row r="1951" spans="39:44" ht="18" customHeight="1">
      <c r="AM1951" s="74">
        <v>5</v>
      </c>
      <c r="AN1951" s="78"/>
      <c r="AO1951" s="18"/>
      <c r="AP1951" s="20" t="s">
        <v>584</v>
      </c>
      <c r="AQ1951" s="249">
        <f>D56/D98</f>
        <v>0</v>
      </c>
      <c r="AR1951" s="249">
        <f>E56/E98</f>
        <v>0</v>
      </c>
    </row>
    <row r="1952" spans="39:44" ht="18" customHeight="1">
      <c r="AM1952" s="74">
        <v>6</v>
      </c>
      <c r="AN1952" s="18"/>
      <c r="AO1952" s="18"/>
      <c r="AP1952" s="20" t="s">
        <v>798</v>
      </c>
      <c r="AQ1952" s="249">
        <f>D57/D98</f>
        <v>0</v>
      </c>
      <c r="AR1952" s="249">
        <f>E57/E98</f>
        <v>0</v>
      </c>
    </row>
    <row r="1953" spans="39:44" ht="18" customHeight="1">
      <c r="AM1953" s="18"/>
      <c r="AN1953" s="18"/>
      <c r="AO1953" s="18"/>
      <c r="AP1953" s="18"/>
      <c r="AQ1953" s="18"/>
      <c r="AR1953" s="18"/>
    </row>
    <row r="1954" spans="39:44" ht="18" customHeight="1">
      <c r="AM1954" s="67" t="s">
        <v>1281</v>
      </c>
      <c r="AN1954" s="67"/>
      <c r="AO1954" s="67"/>
      <c r="AP1954" s="67"/>
      <c r="AQ1954" s="67"/>
      <c r="AR1954" s="67"/>
    </row>
    <row r="1955" spans="39:44" ht="25.5">
      <c r="AM1955" s="237" t="s">
        <v>1612</v>
      </c>
      <c r="AN1955" s="238" t="s">
        <v>1613</v>
      </c>
      <c r="AO1955" s="239"/>
      <c r="AP1955" s="240"/>
      <c r="AQ1955" s="244" t="s">
        <v>1673</v>
      </c>
      <c r="AR1955" s="241" t="s">
        <v>1672</v>
      </c>
    </row>
    <row r="1956" spans="39:44" ht="18" customHeight="1">
      <c r="AM1956" s="74">
        <v>1</v>
      </c>
      <c r="AN1956" s="78"/>
      <c r="AO1956" s="18"/>
      <c r="AP1956" s="20" t="s">
        <v>916</v>
      </c>
      <c r="AQ1956" s="249">
        <f>D68/D98</f>
        <v>0.33593931779049746</v>
      </c>
      <c r="AR1956" s="249">
        <f>E68/E98</f>
        <v>0.3402184604234612</v>
      </c>
    </row>
    <row r="1957" spans="39:44" ht="18" customHeight="1">
      <c r="AM1957" s="74">
        <v>2</v>
      </c>
      <c r="AN1957" s="78"/>
      <c r="AO1957" s="18"/>
      <c r="AP1957" s="20" t="s">
        <v>519</v>
      </c>
      <c r="AQ1957" s="249">
        <f>D78/D98</f>
        <v>0.2531993112755363</v>
      </c>
      <c r="AR1957" s="249">
        <f>E78/E98</f>
        <v>0.2844126934824248</v>
      </c>
    </row>
    <row r="1958" spans="39:44" ht="18" customHeight="1">
      <c r="AM1958" s="74">
        <v>3</v>
      </c>
      <c r="AN1958" s="18"/>
      <c r="AO1958" s="18"/>
      <c r="AP1958" s="20" t="s">
        <v>2181</v>
      </c>
      <c r="AQ1958" s="249">
        <f>D88/D98</f>
        <v>0</v>
      </c>
      <c r="AR1958" s="249">
        <f>E88/E98</f>
        <v>0</v>
      </c>
    </row>
    <row r="1959" spans="39:44" ht="18" customHeight="1">
      <c r="AM1959" s="74">
        <v>4</v>
      </c>
      <c r="AN1959" s="18"/>
      <c r="AO1959" s="18"/>
      <c r="AP1959" s="20" t="s">
        <v>564</v>
      </c>
      <c r="AQ1959" s="249">
        <f>D95/D98</f>
        <v>0.00581692959188422</v>
      </c>
      <c r="AR1959" s="249">
        <f>E95/E98</f>
        <v>0.012372521613086919</v>
      </c>
    </row>
    <row r="1960" spans="39:44" ht="18" customHeight="1">
      <c r="AM1960" s="74">
        <v>5</v>
      </c>
      <c r="AN1960" s="18"/>
      <c r="AO1960" s="18"/>
      <c r="AP1960" s="20" t="s">
        <v>584</v>
      </c>
      <c r="AQ1960" s="249">
        <f>D96/D98</f>
        <v>0.0011168504816417703</v>
      </c>
      <c r="AR1960" s="249">
        <f>E96/E98</f>
        <v>0.0010871253300201895</v>
      </c>
    </row>
    <row r="1961" spans="39:44" ht="18" customHeight="1">
      <c r="AM1961" s="18"/>
      <c r="AN1961" s="18"/>
      <c r="AO1961" s="18"/>
      <c r="AP1961" s="18"/>
      <c r="AQ1961" s="18"/>
      <c r="AR1961" s="18"/>
    </row>
    <row r="1962" spans="39:44" ht="18" customHeight="1">
      <c r="AM1962" s="67" t="s">
        <v>585</v>
      </c>
      <c r="AN1962" s="67"/>
      <c r="AO1962" s="67"/>
      <c r="AP1962" s="67"/>
      <c r="AQ1962" s="67"/>
      <c r="AR1962" s="67"/>
    </row>
    <row r="1963" spans="39:44" ht="25.5">
      <c r="AM1963" s="237" t="s">
        <v>1612</v>
      </c>
      <c r="AN1963" s="238" t="s">
        <v>1613</v>
      </c>
      <c r="AO1963" s="239"/>
      <c r="AP1963" s="240"/>
      <c r="AQ1963" s="244" t="s">
        <v>1673</v>
      </c>
      <c r="AR1963" s="241" t="s">
        <v>1672</v>
      </c>
    </row>
    <row r="1964" spans="39:44" ht="18" customHeight="1">
      <c r="AM1964" s="74">
        <v>1</v>
      </c>
      <c r="AN1964" s="78"/>
      <c r="AO1964" s="18"/>
      <c r="AP1964" s="20" t="s">
        <v>2454</v>
      </c>
      <c r="AQ1964" s="20">
        <f>D130</f>
        <v>13840</v>
      </c>
      <c r="AR1964" s="20">
        <f>E130</f>
        <v>13752</v>
      </c>
    </row>
    <row r="1965" spans="39:44" ht="18" customHeight="1">
      <c r="AM1965" s="74">
        <v>2</v>
      </c>
      <c r="AN1965" s="78"/>
      <c r="AO1965" s="18"/>
      <c r="AP1965" s="245" t="s">
        <v>586</v>
      </c>
      <c r="AQ1965" s="20">
        <f>AR682</f>
        <v>5845</v>
      </c>
      <c r="AR1965" s="20">
        <f>AS682</f>
        <v>3478</v>
      </c>
    </row>
    <row r="1966" spans="39:44" ht="18" customHeight="1">
      <c r="AM1966" s="18"/>
      <c r="AN1966" s="18"/>
      <c r="AO1966" s="18"/>
      <c r="AP1966" s="18"/>
      <c r="AQ1966" s="18"/>
      <c r="AR1966" s="18"/>
    </row>
    <row r="1967" spans="39:44" ht="18" customHeight="1">
      <c r="AM1967" s="67" t="s">
        <v>4</v>
      </c>
      <c r="AN1967" s="67"/>
      <c r="AO1967" s="67"/>
      <c r="AP1967" s="67"/>
      <c r="AQ1967" s="67"/>
      <c r="AR1967" s="67"/>
    </row>
    <row r="1968" spans="39:44" ht="25.5">
      <c r="AM1968" s="237" t="s">
        <v>1612</v>
      </c>
      <c r="AN1968" s="238" t="s">
        <v>1613</v>
      </c>
      <c r="AO1968" s="239"/>
      <c r="AP1968" s="240"/>
      <c r="AQ1968" s="244" t="s">
        <v>1673</v>
      </c>
      <c r="AR1968" s="241" t="s">
        <v>1672</v>
      </c>
    </row>
    <row r="1969" spans="39:44" ht="18" customHeight="1">
      <c r="AM1969" s="74">
        <v>1</v>
      </c>
      <c r="AN1969" s="78"/>
      <c r="AO1969" s="18"/>
      <c r="AP1969" s="20" t="s">
        <v>29</v>
      </c>
      <c r="AQ1969" s="76">
        <f>AR730</f>
        <v>760</v>
      </c>
      <c r="AR1969" s="76">
        <f>AS730</f>
        <v>984</v>
      </c>
    </row>
    <row r="1970" spans="39:44" ht="18" customHeight="1">
      <c r="AM1970" s="74">
        <v>2</v>
      </c>
      <c r="AN1970" s="78"/>
      <c r="AO1970" s="18"/>
      <c r="AP1970" s="20" t="s">
        <v>1282</v>
      </c>
      <c r="AQ1970" s="76">
        <f>AR732</f>
        <v>0</v>
      </c>
      <c r="AR1970" s="76">
        <f>AS732</f>
        <v>0</v>
      </c>
    </row>
    <row r="1971" spans="39:44" ht="18" customHeight="1">
      <c r="AM1971" s="74">
        <v>3</v>
      </c>
      <c r="AN1971" s="18"/>
      <c r="AO1971" s="18"/>
      <c r="AP1971" s="20" t="s">
        <v>4</v>
      </c>
      <c r="AQ1971" s="76">
        <f>AR733</f>
        <v>760</v>
      </c>
      <c r="AR1971" s="76">
        <f>AS733</f>
        <v>984</v>
      </c>
    </row>
    <row r="1972" spans="39:44" ht="18" customHeight="1">
      <c r="AM1972" s="18"/>
      <c r="AN1972" s="18"/>
      <c r="AO1972" s="18"/>
      <c r="AP1972" s="18"/>
      <c r="AQ1972" s="18"/>
      <c r="AR1972" s="18"/>
    </row>
    <row r="1973" spans="39:44" ht="18" customHeight="1">
      <c r="AM1973" s="67" t="s">
        <v>568</v>
      </c>
      <c r="AN1973" s="67"/>
      <c r="AO1973" s="67"/>
      <c r="AP1973" s="67"/>
      <c r="AQ1973" s="67"/>
      <c r="AR1973" s="67"/>
    </row>
    <row r="1974" spans="39:44" ht="25.5">
      <c r="AM1974" s="237" t="s">
        <v>1612</v>
      </c>
      <c r="AN1974" s="238" t="s">
        <v>1613</v>
      </c>
      <c r="AO1974" s="239"/>
      <c r="AP1974" s="240"/>
      <c r="AQ1974" s="244" t="s">
        <v>1673</v>
      </c>
      <c r="AR1974" s="241" t="s">
        <v>1672</v>
      </c>
    </row>
    <row r="1975" spans="39:44" ht="18" customHeight="1">
      <c r="AM1975" s="74">
        <v>1</v>
      </c>
      <c r="AN1975" s="78"/>
      <c r="AO1975" s="18"/>
      <c r="AP1975" s="20" t="s">
        <v>5</v>
      </c>
      <c r="AQ1975" s="131">
        <f>AR739</f>
        <v>16.82236842105263</v>
      </c>
      <c r="AR1975" s="131">
        <f>AS739</f>
        <v>12.505081300813009</v>
      </c>
    </row>
    <row r="1976" spans="39:44" ht="18" customHeight="1">
      <c r="AM1976" s="74">
        <v>2</v>
      </c>
      <c r="AN1976" s="78"/>
      <c r="AO1976" s="18"/>
      <c r="AP1976" s="20" t="s">
        <v>6</v>
      </c>
      <c r="AQ1976" s="131">
        <f aca="true" t="shared" si="78" ref="AQ1976:AR1978">AR740</f>
        <v>7.323684210526316</v>
      </c>
      <c r="AR1976" s="131">
        <f t="shared" si="78"/>
        <v>5.826219512195122</v>
      </c>
    </row>
    <row r="1977" spans="39:44" ht="18" customHeight="1">
      <c r="AM1977" s="74">
        <v>3</v>
      </c>
      <c r="AN1977" s="18"/>
      <c r="AO1977" s="18"/>
      <c r="AP1977" s="20" t="s">
        <v>7</v>
      </c>
      <c r="AQ1977" s="131">
        <f t="shared" si="78"/>
        <v>0.16447368421052633</v>
      </c>
      <c r="AR1977" s="131">
        <f t="shared" si="78"/>
        <v>0.24288617886178862</v>
      </c>
    </row>
    <row r="1978" spans="39:44" ht="18" customHeight="1">
      <c r="AM1978" s="74">
        <v>4</v>
      </c>
      <c r="AN1978" s="18"/>
      <c r="AO1978" s="18"/>
      <c r="AP1978" s="20" t="s">
        <v>8</v>
      </c>
      <c r="AQ1978" s="131">
        <f t="shared" si="78"/>
        <v>0.16447368421052633</v>
      </c>
      <c r="AR1978" s="131">
        <f t="shared" si="78"/>
        <v>0.24288617886178862</v>
      </c>
    </row>
    <row r="1979" spans="39:44" ht="18" customHeight="1">
      <c r="AM1979" s="18"/>
      <c r="AN1979" s="18"/>
      <c r="AO1979" s="18"/>
      <c r="AP1979" s="18"/>
      <c r="AQ1979" s="18"/>
      <c r="AR1979" s="18"/>
    </row>
    <row r="1980" spans="39:44" ht="18" customHeight="1">
      <c r="AM1980" s="67" t="s">
        <v>1737</v>
      </c>
      <c r="AN1980" s="67"/>
      <c r="AO1980" s="67"/>
      <c r="AP1980" s="67"/>
      <c r="AQ1980" s="67"/>
      <c r="AR1980" s="67"/>
    </row>
    <row r="1981" spans="39:44" ht="25.5">
      <c r="AM1981" s="237" t="s">
        <v>1612</v>
      </c>
      <c r="AN1981" s="238" t="s">
        <v>1613</v>
      </c>
      <c r="AO1981" s="239"/>
      <c r="AP1981" s="240"/>
      <c r="AQ1981" s="244" t="s">
        <v>1673</v>
      </c>
      <c r="AR1981" s="241" t="s">
        <v>1672</v>
      </c>
    </row>
    <row r="1982" spans="39:44" ht="18" customHeight="1">
      <c r="AM1982" s="74">
        <v>1</v>
      </c>
      <c r="AN1982" s="78"/>
      <c r="AO1982" s="18"/>
      <c r="AP1982" s="20" t="s">
        <v>5</v>
      </c>
      <c r="AQ1982" s="131">
        <f>AR744</f>
        <v>16.82236842105263</v>
      </c>
      <c r="AR1982" s="131">
        <f>AS744</f>
        <v>12.505081300813009</v>
      </c>
    </row>
    <row r="1983" spans="39:44" ht="18" customHeight="1">
      <c r="AM1983" s="74">
        <v>2</v>
      </c>
      <c r="AN1983" s="78"/>
      <c r="AO1983" s="18"/>
      <c r="AP1983" s="20" t="s">
        <v>6</v>
      </c>
      <c r="AQ1983" s="131">
        <f aca="true" t="shared" si="79" ref="AQ1983:AR1985">AR745</f>
        <v>7.323684210526316</v>
      </c>
      <c r="AR1983" s="131">
        <f t="shared" si="79"/>
        <v>5.826219512195122</v>
      </c>
    </row>
    <row r="1984" spans="39:44" ht="18" customHeight="1">
      <c r="AM1984" s="74">
        <v>3</v>
      </c>
      <c r="AN1984" s="18"/>
      <c r="AO1984" s="18"/>
      <c r="AP1984" s="20" t="s">
        <v>7</v>
      </c>
      <c r="AQ1984" s="131">
        <f t="shared" si="79"/>
        <v>0.16447368421052633</v>
      </c>
      <c r="AR1984" s="131">
        <f t="shared" si="79"/>
        <v>0.24288617886178862</v>
      </c>
    </row>
    <row r="1985" spans="39:44" ht="18" customHeight="1">
      <c r="AM1985" s="74">
        <v>4</v>
      </c>
      <c r="AN1985" s="18"/>
      <c r="AO1985" s="18"/>
      <c r="AP1985" s="20" t="s">
        <v>8</v>
      </c>
      <c r="AQ1985" s="131">
        <f t="shared" si="79"/>
        <v>0.16447368421052633</v>
      </c>
      <c r="AR1985" s="131">
        <f t="shared" si="79"/>
        <v>0.24288617886178862</v>
      </c>
    </row>
    <row r="1986" spans="39:44" ht="18" customHeight="1">
      <c r="AM1986" s="18"/>
      <c r="AN1986" s="18"/>
      <c r="AO1986" s="18"/>
      <c r="AP1986" s="18"/>
      <c r="AQ1986" s="18"/>
      <c r="AR1986" s="18"/>
    </row>
    <row r="1987" spans="39:45" ht="18" customHeight="1">
      <c r="AM1987" s="67" t="s">
        <v>9</v>
      </c>
      <c r="AN1987" s="67"/>
      <c r="AO1987" s="67"/>
      <c r="AP1987" s="67"/>
      <c r="AQ1987" s="67"/>
      <c r="AR1987" s="67"/>
      <c r="AS1987" s="600" t="str">
        <f>+' -'!$E$21</f>
        <v>Програмата за финансов анализ е лицензирана на:</v>
      </c>
    </row>
    <row r="1988" spans="39:45" ht="25.5">
      <c r="AM1988" s="237" t="s">
        <v>1612</v>
      </c>
      <c r="AN1988" s="238" t="s">
        <v>1613</v>
      </c>
      <c r="AO1988" s="239"/>
      <c r="AP1988" s="240"/>
      <c r="AQ1988" s="244" t="s">
        <v>1673</v>
      </c>
      <c r="AR1988" s="241" t="s">
        <v>1672</v>
      </c>
      <c r="AS1988" s="601"/>
    </row>
    <row r="1989" spans="39:45" ht="18" customHeight="1">
      <c r="AM1989" s="74">
        <v>1</v>
      </c>
      <c r="AN1989" s="78"/>
      <c r="AO1989" s="18"/>
      <c r="AP1989" s="20" t="s">
        <v>10</v>
      </c>
      <c r="AQ1989" s="76">
        <f>D141+D164</f>
        <v>6605</v>
      </c>
      <c r="AR1989" s="76">
        <f>E141+E164</f>
        <v>4462</v>
      </c>
      <c r="AS1989" s="600" t="str">
        <f>+' -'!$E$22</f>
        <v>"В И Н З А В О Д"  А Д - гр. АСЕНОВГРАД</v>
      </c>
    </row>
    <row r="1990" spans="39:44" ht="18" customHeight="1">
      <c r="AM1990" s="74">
        <v>2</v>
      </c>
      <c r="AN1990" s="78"/>
      <c r="AO1990" s="18"/>
      <c r="AP1990" s="20" t="s">
        <v>2454</v>
      </c>
      <c r="AQ1990" s="76">
        <f>D130</f>
        <v>13840</v>
      </c>
      <c r="AR1990" s="76">
        <f>E130</f>
        <v>13752</v>
      </c>
    </row>
    <row r="1991" spans="39:44" ht="18" customHeight="1">
      <c r="AM1991" s="74">
        <v>3</v>
      </c>
      <c r="AN1991" s="18"/>
      <c r="AO1991" s="18"/>
      <c r="AP1991" s="20" t="s">
        <v>11</v>
      </c>
      <c r="AQ1991" s="76">
        <f>D98</f>
        <v>21489</v>
      </c>
      <c r="AR1991" s="76">
        <f>E98</f>
        <v>19317</v>
      </c>
    </row>
    <row r="1992" spans="39:44" ht="18" customHeight="1">
      <c r="AM1992" s="18"/>
      <c r="AN1992" s="18"/>
      <c r="AO1992" s="18"/>
      <c r="AP1992" s="18"/>
      <c r="AQ1992" s="18"/>
      <c r="AR1992" s="18"/>
    </row>
    <row r="1993" spans="39:44" ht="18" customHeight="1">
      <c r="AM1993" s="67" t="s">
        <v>170</v>
      </c>
      <c r="AN1993" s="67"/>
      <c r="AO1993" s="67"/>
      <c r="AP1993" s="67"/>
      <c r="AQ1993" s="67"/>
      <c r="AR1993" s="67"/>
    </row>
    <row r="1994" spans="39:44" ht="25.5">
      <c r="AM1994" s="237" t="s">
        <v>1612</v>
      </c>
      <c r="AN1994" s="238" t="s">
        <v>1613</v>
      </c>
      <c r="AO1994" s="239"/>
      <c r="AP1994" s="240"/>
      <c r="AQ1994" s="244" t="s">
        <v>1673</v>
      </c>
      <c r="AR1994" s="241" t="s">
        <v>1672</v>
      </c>
    </row>
    <row r="1995" spans="39:44" ht="18" customHeight="1">
      <c r="AM1995" s="74">
        <v>1</v>
      </c>
      <c r="AN1995" s="78"/>
      <c r="AO1995" s="18"/>
      <c r="AP1995" s="20" t="s">
        <v>171</v>
      </c>
      <c r="AQ1995" s="76">
        <f>D156</f>
        <v>407</v>
      </c>
      <c r="AR1995" s="76">
        <f>E156</f>
        <v>523</v>
      </c>
    </row>
    <row r="1996" spans="39:44" ht="18" customHeight="1">
      <c r="AM1996" s="74">
        <v>2</v>
      </c>
      <c r="AN1996" s="78"/>
      <c r="AO1996" s="18"/>
      <c r="AP1996" s="20" t="s">
        <v>2292</v>
      </c>
      <c r="AQ1996" s="76">
        <f>D158</f>
        <v>109</v>
      </c>
      <c r="AR1996" s="76">
        <f>E158</f>
        <v>73</v>
      </c>
    </row>
    <row r="1997" spans="39:44" ht="18" customHeight="1">
      <c r="AM1997" s="74">
        <v>3</v>
      </c>
      <c r="AN1997" s="18"/>
      <c r="AO1997" s="18"/>
      <c r="AP1997" s="20" t="s">
        <v>172</v>
      </c>
      <c r="AQ1997" s="76">
        <f>D159+D160</f>
        <v>181</v>
      </c>
      <c r="AR1997" s="76">
        <f>E159+E160</f>
        <v>348</v>
      </c>
    </row>
    <row r="1998" spans="39:44" ht="18" customHeight="1">
      <c r="AM1998" s="74">
        <v>4</v>
      </c>
      <c r="AN1998" s="18"/>
      <c r="AO1998" s="18"/>
      <c r="AP1998" s="20" t="s">
        <v>173</v>
      </c>
      <c r="AQ1998" s="76">
        <f>D154++D157</f>
        <v>0</v>
      </c>
      <c r="AR1998" s="76">
        <f>E154++E157</f>
        <v>0</v>
      </c>
    </row>
    <row r="1999" spans="39:44" ht="18" customHeight="1">
      <c r="AM1999" s="74">
        <v>5</v>
      </c>
      <c r="AN1999" s="18"/>
      <c r="AO1999" s="18"/>
      <c r="AP1999" s="20" t="s">
        <v>1145</v>
      </c>
      <c r="AQ1999" s="76">
        <f>D164-SUM(AQ1995:AQ1998)</f>
        <v>63</v>
      </c>
      <c r="AR1999" s="76">
        <f>E164-SUM(AR1995:AR1998)</f>
        <v>40</v>
      </c>
    </row>
    <row r="2000" spans="39:44" ht="18" customHeight="1">
      <c r="AM2000" s="18"/>
      <c r="AN2000" s="18"/>
      <c r="AO2000" s="18"/>
      <c r="AP2000" s="18"/>
      <c r="AQ2000" s="18"/>
      <c r="AR2000" s="18"/>
    </row>
    <row r="2001" spans="39:44" ht="18" customHeight="1">
      <c r="AM2001" s="67" t="s">
        <v>1632</v>
      </c>
      <c r="AN2001" s="67"/>
      <c r="AO2001" s="67"/>
      <c r="AP2001" s="67"/>
      <c r="AQ2001" s="67"/>
      <c r="AR2001" s="67"/>
    </row>
    <row r="2002" spans="39:44" ht="25.5">
      <c r="AM2002" s="237" t="s">
        <v>1612</v>
      </c>
      <c r="AN2002" s="238" t="s">
        <v>1613</v>
      </c>
      <c r="AO2002" s="239"/>
      <c r="AP2002" s="240"/>
      <c r="AQ2002" s="244" t="s">
        <v>1673</v>
      </c>
      <c r="AR2002" s="241" t="s">
        <v>1672</v>
      </c>
    </row>
    <row r="2003" spans="39:44" ht="18" customHeight="1">
      <c r="AM2003" s="74">
        <v>1</v>
      </c>
      <c r="AN2003" s="78"/>
      <c r="AO2003" s="18"/>
      <c r="AP2003" s="20" t="s">
        <v>235</v>
      </c>
      <c r="AQ2003" s="250">
        <f>AR1007</f>
        <v>0.007442196531791907</v>
      </c>
      <c r="AR2003" s="250">
        <f>AS1007</f>
        <v>0.03090459569517161</v>
      </c>
    </row>
    <row r="2004" spans="39:44" ht="18" customHeight="1">
      <c r="AM2004" s="74">
        <v>2</v>
      </c>
      <c r="AN2004" s="78"/>
      <c r="AO2004" s="18"/>
      <c r="AP2004" s="20" t="s">
        <v>236</v>
      </c>
      <c r="AQ2004" s="250">
        <f>AR1008</f>
        <v>0.013465812524513008</v>
      </c>
      <c r="AR2004" s="250">
        <f>AS1008</f>
        <v>0.07637017070979335</v>
      </c>
    </row>
    <row r="2005" spans="39:44" ht="18" customHeight="1">
      <c r="AM2005" s="74">
        <v>3</v>
      </c>
      <c r="AN2005" s="18"/>
      <c r="AO2005" s="18"/>
      <c r="AP2005" s="20" t="s">
        <v>237</v>
      </c>
      <c r="AQ2005" s="250">
        <f>AR1006</f>
        <v>0.0047931499837125975</v>
      </c>
      <c r="AR2005" s="250">
        <f>AS1006</f>
        <v>0.02200134596469431</v>
      </c>
    </row>
    <row r="2006" spans="39:44" ht="18" customHeight="1">
      <c r="AM2006" s="18"/>
      <c r="AN2006" s="18"/>
      <c r="AO2006" s="18"/>
      <c r="AP2006" s="20"/>
      <c r="AQ2006" s="75"/>
      <c r="AR2006" s="75"/>
    </row>
    <row r="2007" spans="39:44" ht="18" customHeight="1">
      <c r="AM2007" s="67" t="s">
        <v>1583</v>
      </c>
      <c r="AN2007" s="67"/>
      <c r="AO2007" s="67"/>
      <c r="AP2007" s="67"/>
      <c r="AQ2007" s="67"/>
      <c r="AR2007" s="67"/>
    </row>
    <row r="2008" spans="39:44" ht="25.5">
      <c r="AM2008" s="237" t="s">
        <v>1612</v>
      </c>
      <c r="AN2008" s="238" t="s">
        <v>1613</v>
      </c>
      <c r="AO2008" s="239"/>
      <c r="AP2008" s="240"/>
      <c r="AQ2008" s="244" t="s">
        <v>1673</v>
      </c>
      <c r="AR2008" s="241" t="s">
        <v>1672</v>
      </c>
    </row>
    <row r="2009" spans="39:44" ht="18" customHeight="1">
      <c r="AM2009" s="74">
        <v>1</v>
      </c>
      <c r="AN2009" s="78"/>
      <c r="AO2009" s="18"/>
      <c r="AP2009" s="20" t="s">
        <v>238</v>
      </c>
      <c r="AQ2009" s="249">
        <f>AS953</f>
        <v>0.713824004701043</v>
      </c>
      <c r="AR2009" s="249">
        <f>AU953</f>
        <v>0.5808245185787904</v>
      </c>
    </row>
    <row r="2010" spans="39:44" ht="18" customHeight="1">
      <c r="AM2010" s="74">
        <v>2</v>
      </c>
      <c r="AN2010" s="78"/>
      <c r="AO2010" s="18"/>
      <c r="AP2010" s="20" t="s">
        <v>239</v>
      </c>
      <c r="AQ2010" s="249">
        <f>AS954</f>
        <v>0.07315998237108859</v>
      </c>
      <c r="AR2010" s="249">
        <f>AU954</f>
        <v>0.07024681312720368</v>
      </c>
    </row>
    <row r="2011" spans="39:44" ht="18" customHeight="1">
      <c r="AM2011" s="74">
        <v>3</v>
      </c>
      <c r="AN2011" s="18"/>
      <c r="AO2011" s="18"/>
      <c r="AP2011" s="20" t="s">
        <v>240</v>
      </c>
      <c r="AQ2011" s="249">
        <f>AS956+AS957</f>
        <v>0.1576318495666226</v>
      </c>
      <c r="AR2011" s="249">
        <f>AU956+AU957</f>
        <v>0.1300515324111744</v>
      </c>
    </row>
    <row r="2012" spans="39:44" ht="18" customHeight="1">
      <c r="AM2012" s="74">
        <v>4</v>
      </c>
      <c r="AN2012" s="18"/>
      <c r="AO2012" s="18"/>
      <c r="AP2012" s="20" t="s">
        <v>859</v>
      </c>
      <c r="AQ2012" s="249">
        <f>AS955</f>
        <v>0.06493315704421919</v>
      </c>
      <c r="AR2012" s="249">
        <f>AU955</f>
        <v>0.06265256305939788</v>
      </c>
    </row>
    <row r="2013" spans="39:44" ht="18" customHeight="1">
      <c r="AM2013" s="74">
        <v>5</v>
      </c>
      <c r="AN2013" s="18"/>
      <c r="AO2013" s="18"/>
      <c r="AP2013" s="20" t="s">
        <v>1346</v>
      </c>
      <c r="AQ2013" s="249">
        <f>AS960</f>
        <v>0.06287645071250184</v>
      </c>
      <c r="AR2013" s="249">
        <f>AU960</f>
        <v>0.03824247355573637</v>
      </c>
    </row>
    <row r="2014" spans="39:44" ht="18" customHeight="1">
      <c r="AM2014" s="74">
        <v>6</v>
      </c>
      <c r="AN2014" s="18"/>
      <c r="AO2014" s="18"/>
      <c r="AP2014" s="20" t="s">
        <v>1145</v>
      </c>
      <c r="AQ2014" s="249">
        <f>1-SUM(AQ2009:AQ2013)</f>
        <v>-0.07242544439547527</v>
      </c>
      <c r="AR2014" s="249">
        <f>1-SUM(AR2009:AR2013)</f>
        <v>0.1179820992676972</v>
      </c>
    </row>
    <row r="2015" spans="39:44" ht="18" customHeight="1">
      <c r="AM2015" s="18"/>
      <c r="AN2015" s="18"/>
      <c r="AO2015" s="18"/>
      <c r="AP2015" s="18"/>
      <c r="AQ2015" s="18"/>
      <c r="AR2015" s="18"/>
    </row>
    <row r="2016" spans="39:44" ht="18" customHeight="1">
      <c r="AM2016" s="67" t="s">
        <v>916</v>
      </c>
      <c r="AN2016" s="67"/>
      <c r="AO2016" s="67"/>
      <c r="AP2016" s="67"/>
      <c r="AQ2016" s="67"/>
      <c r="AR2016" s="67"/>
    </row>
    <row r="2017" spans="39:44" ht="25.5">
      <c r="AM2017" s="237" t="s">
        <v>1612</v>
      </c>
      <c r="AN2017" s="238" t="s">
        <v>1613</v>
      </c>
      <c r="AO2017" s="239"/>
      <c r="AP2017" s="240"/>
      <c r="AQ2017" s="244" t="s">
        <v>1673</v>
      </c>
      <c r="AR2017" s="241" t="s">
        <v>1672</v>
      </c>
    </row>
    <row r="2018" spans="39:44" ht="18" customHeight="1">
      <c r="AM2018" s="74">
        <v>1</v>
      </c>
      <c r="AN2018" s="78"/>
      <c r="AO2018" s="18"/>
      <c r="AP2018" s="235" t="s">
        <v>59</v>
      </c>
      <c r="AQ2018" s="76">
        <f aca="true" t="shared" si="80" ref="AQ2018:AR2020">D61</f>
        <v>1001</v>
      </c>
      <c r="AR2018" s="76">
        <f t="shared" si="80"/>
        <v>990</v>
      </c>
    </row>
    <row r="2019" spans="39:44" ht="18" customHeight="1">
      <c r="AM2019" s="74">
        <v>2</v>
      </c>
      <c r="AN2019" s="78"/>
      <c r="AO2019" s="18"/>
      <c r="AP2019" s="235" t="s">
        <v>372</v>
      </c>
      <c r="AQ2019" s="76">
        <f t="shared" si="80"/>
        <v>6205</v>
      </c>
      <c r="AR2019" s="76">
        <f t="shared" si="80"/>
        <v>5571</v>
      </c>
    </row>
    <row r="2020" spans="39:44" ht="18" customHeight="1">
      <c r="AM2020" s="74">
        <v>3</v>
      </c>
      <c r="AN2020" s="18"/>
      <c r="AO2020" s="18"/>
      <c r="AP2020" s="235" t="s">
        <v>373</v>
      </c>
      <c r="AQ2020" s="76">
        <f t="shared" si="80"/>
        <v>13</v>
      </c>
      <c r="AR2020" s="76">
        <f t="shared" si="80"/>
        <v>11</v>
      </c>
    </row>
    <row r="2021" spans="39:44" ht="18" customHeight="1">
      <c r="AM2021" s="74">
        <v>4</v>
      </c>
      <c r="AN2021" s="18"/>
      <c r="AO2021" s="18"/>
      <c r="AP2021" s="20" t="s">
        <v>241</v>
      </c>
      <c r="AQ2021" s="76">
        <f>D66</f>
        <v>0</v>
      </c>
      <c r="AR2021" s="76">
        <f>E66</f>
        <v>0</v>
      </c>
    </row>
    <row r="2022" spans="39:44" ht="18" customHeight="1">
      <c r="AM2022" s="74">
        <v>5</v>
      </c>
      <c r="AN2022" s="18"/>
      <c r="AO2022" s="18"/>
      <c r="AP2022" s="235" t="s">
        <v>1145</v>
      </c>
      <c r="AQ2022" s="76">
        <f>D68-SUM(AQ2018:AQ2021)</f>
        <v>0</v>
      </c>
      <c r="AR2022" s="76">
        <f>E68-SUM(AR2018:AR2021)</f>
        <v>0</v>
      </c>
    </row>
    <row r="2023" spans="39:44" ht="18" customHeight="1">
      <c r="AM2023" s="18"/>
      <c r="AN2023" s="18"/>
      <c r="AO2023" s="18"/>
      <c r="AP2023" s="18"/>
      <c r="AQ2023" s="18"/>
      <c r="AR2023" s="18"/>
    </row>
    <row r="2024" spans="39:44" ht="18" customHeight="1">
      <c r="AM2024" s="67" t="s">
        <v>1146</v>
      </c>
      <c r="AN2024" s="67"/>
      <c r="AO2024" s="67"/>
      <c r="AP2024" s="67"/>
      <c r="AQ2024" s="67"/>
      <c r="AR2024" s="67"/>
    </row>
    <row r="2025" spans="39:44" ht="25.5">
      <c r="AM2025" s="237" t="s">
        <v>1612</v>
      </c>
      <c r="AN2025" s="238" t="s">
        <v>1613</v>
      </c>
      <c r="AO2025" s="239"/>
      <c r="AP2025" s="240"/>
      <c r="AQ2025" s="244" t="s">
        <v>1673</v>
      </c>
      <c r="AR2025" s="241" t="s">
        <v>1672</v>
      </c>
    </row>
    <row r="2026" spans="39:44" ht="18" customHeight="1">
      <c r="AM2026" s="74">
        <v>1</v>
      </c>
      <c r="AN2026" s="78"/>
      <c r="AO2026" s="18"/>
      <c r="AP2026" s="20" t="s">
        <v>242</v>
      </c>
      <c r="AQ2026" s="246">
        <f>$AR$990-$AR$991</f>
        <v>138</v>
      </c>
      <c r="AR2026" s="246">
        <f>$AS$990-$AS$991</f>
        <v>457</v>
      </c>
    </row>
    <row r="2027" spans="39:44" ht="18" customHeight="1">
      <c r="AM2027" s="74">
        <v>2</v>
      </c>
      <c r="AN2027" s="78"/>
      <c r="AO2027" s="18"/>
      <c r="AP2027" s="20" t="s">
        <v>243</v>
      </c>
      <c r="AQ2027" s="246">
        <f>$K$214-$K$252</f>
        <v>138</v>
      </c>
      <c r="AR2027" s="246">
        <f>$L$214-$L$252</f>
        <v>457</v>
      </c>
    </row>
    <row r="2028" spans="39:44" ht="18" customHeight="1">
      <c r="AM2028" s="74">
        <v>3</v>
      </c>
      <c r="AN2028" s="18"/>
      <c r="AO2028" s="18"/>
      <c r="AP2028" s="20" t="s">
        <v>244</v>
      </c>
      <c r="AQ2028" s="246">
        <f>$K$222-$K$257</f>
        <v>103</v>
      </c>
      <c r="AR2028" s="246">
        <f>$L$222-$L$257</f>
        <v>425</v>
      </c>
    </row>
    <row r="2029" spans="39:44" ht="18" customHeight="1">
      <c r="AM2029" s="18"/>
      <c r="AN2029" s="18"/>
      <c r="AO2029" s="18"/>
      <c r="AP2029" s="18"/>
      <c r="AQ2029" s="18"/>
      <c r="AR2029" s="18"/>
    </row>
    <row r="2030" spans="39:44" ht="18" customHeight="1">
      <c r="AM2030" s="67" t="s">
        <v>245</v>
      </c>
      <c r="AN2030" s="67"/>
      <c r="AO2030" s="67"/>
      <c r="AP2030" s="67"/>
      <c r="AQ2030" s="67"/>
      <c r="AR2030" s="67"/>
    </row>
    <row r="2031" spans="39:44" ht="25.5">
      <c r="AM2031" s="237" t="s">
        <v>1612</v>
      </c>
      <c r="AN2031" s="238" t="s">
        <v>1613</v>
      </c>
      <c r="AO2031" s="239"/>
      <c r="AP2031" s="240"/>
      <c r="AQ2031" s="244" t="s">
        <v>1673</v>
      </c>
      <c r="AR2031" s="241" t="s">
        <v>1672</v>
      </c>
    </row>
    <row r="2032" spans="39:44" ht="18" customHeight="1">
      <c r="AM2032" s="74">
        <v>1</v>
      </c>
      <c r="AN2032" s="78"/>
      <c r="AO2032" s="18"/>
      <c r="AP2032" s="20" t="s">
        <v>1482</v>
      </c>
      <c r="AQ2032" s="249">
        <f>+AR1187</f>
        <v>0.015400717703349283</v>
      </c>
      <c r="AR2032" s="249">
        <f>+AS1187</f>
        <v>0.05660628662759723</v>
      </c>
    </row>
    <row r="2033" spans="39:44" ht="18" customHeight="1">
      <c r="AM2033" s="74">
        <v>2</v>
      </c>
      <c r="AN2033" s="78"/>
      <c r="AO2033" s="18"/>
      <c r="AP2033" s="20" t="s">
        <v>235</v>
      </c>
      <c r="AQ2033" s="249">
        <f aca="true" t="shared" si="81" ref="AQ2033:AR2035">+AR1189</f>
        <v>0.007442196531791907</v>
      </c>
      <c r="AR2033" s="249">
        <f t="shared" si="81"/>
        <v>0.03090459569517161</v>
      </c>
    </row>
    <row r="2034" spans="39:44" ht="18" customHeight="1">
      <c r="AM2034" s="74">
        <v>3</v>
      </c>
      <c r="AN2034" s="18"/>
      <c r="AO2034" s="18"/>
      <c r="AP2034" s="20" t="s">
        <v>236</v>
      </c>
      <c r="AQ2034" s="249">
        <f t="shared" si="81"/>
        <v>0.013465812524513008</v>
      </c>
      <c r="AR2034" s="249">
        <f t="shared" si="81"/>
        <v>0.07637017070979335</v>
      </c>
    </row>
    <row r="2035" spans="39:44" ht="18" customHeight="1">
      <c r="AM2035" s="74">
        <v>4</v>
      </c>
      <c r="AN2035" s="18"/>
      <c r="AO2035" s="18"/>
      <c r="AP2035" s="20" t="s">
        <v>1515</v>
      </c>
      <c r="AQ2035" s="249">
        <f t="shared" si="81"/>
        <v>0.0047931499837125975</v>
      </c>
      <c r="AR2035" s="249">
        <f t="shared" si="81"/>
        <v>0.02200134596469431</v>
      </c>
    </row>
    <row r="2036" spans="39:44" ht="18" customHeight="1">
      <c r="AM2036" s="69"/>
      <c r="AN2036" s="69"/>
      <c r="AO2036" s="69"/>
      <c r="AP2036" s="69"/>
      <c r="AQ2036" s="69"/>
      <c r="AR2036" s="69"/>
    </row>
    <row r="2037" spans="39:44" ht="18" customHeight="1">
      <c r="AM2037" s="67" t="s">
        <v>1516</v>
      </c>
      <c r="AN2037" s="67"/>
      <c r="AO2037" s="67"/>
      <c r="AP2037" s="67"/>
      <c r="AQ2037" s="67"/>
      <c r="AR2037" s="67"/>
    </row>
    <row r="2038" spans="39:44" ht="25.5">
      <c r="AM2038" s="237" t="s">
        <v>1612</v>
      </c>
      <c r="AN2038" s="238" t="s">
        <v>1613</v>
      </c>
      <c r="AO2038" s="239"/>
      <c r="AP2038" s="240"/>
      <c r="AQ2038" s="244" t="s">
        <v>1673</v>
      </c>
      <c r="AR2038" s="241" t="s">
        <v>1672</v>
      </c>
    </row>
    <row r="2039" spans="39:44" ht="18" customHeight="1">
      <c r="AM2039" s="74">
        <v>1</v>
      </c>
      <c r="AN2039" s="78"/>
      <c r="AO2039" s="18"/>
      <c r="AP2039" s="20" t="s">
        <v>1517</v>
      </c>
      <c r="AQ2039" s="249">
        <f>+AR1193</f>
        <v>1.0150540777550423</v>
      </c>
      <c r="AR2039" s="249">
        <f>+AS1193</f>
        <v>1.057385903321631</v>
      </c>
    </row>
    <row r="2040" spans="39:44" ht="18" customHeight="1">
      <c r="AM2040" s="74">
        <v>2</v>
      </c>
      <c r="AN2040" s="18"/>
      <c r="AO2040" s="18"/>
      <c r="AP2040" s="20" t="s">
        <v>1518</v>
      </c>
      <c r="AQ2040" s="249">
        <f>+AR1194</f>
        <v>0.9851691864650828</v>
      </c>
      <c r="AR2040" s="249">
        <f>+AS1194</f>
        <v>0.9457285148767718</v>
      </c>
    </row>
    <row r="2041" spans="39:44" ht="18" customHeight="1">
      <c r="AM2041" s="18"/>
      <c r="AN2041" s="18"/>
      <c r="AO2041" s="18"/>
      <c r="AP2041" s="18"/>
      <c r="AQ2041" s="18"/>
      <c r="AR2041" s="18"/>
    </row>
    <row r="2042" spans="39:44" ht="18" customHeight="1">
      <c r="AM2042" s="67" t="s">
        <v>712</v>
      </c>
      <c r="AN2042" s="67"/>
      <c r="AO2042" s="67"/>
      <c r="AP2042" s="67"/>
      <c r="AQ2042" s="67"/>
      <c r="AR2042" s="67"/>
    </row>
    <row r="2043" spans="39:44" ht="25.5">
      <c r="AM2043" s="247" t="s">
        <v>1612</v>
      </c>
      <c r="AN2043" s="238" t="s">
        <v>1613</v>
      </c>
      <c r="AO2043" s="239"/>
      <c r="AP2043" s="240"/>
      <c r="AQ2043" s="248" t="s">
        <v>1673</v>
      </c>
      <c r="AR2043" s="241" t="s">
        <v>1672</v>
      </c>
    </row>
    <row r="2044" spans="39:44" ht="18" customHeight="1">
      <c r="AM2044" s="74">
        <v>1</v>
      </c>
      <c r="AN2044" s="78"/>
      <c r="AO2044" s="18"/>
      <c r="AP2044" s="235" t="s">
        <v>555</v>
      </c>
      <c r="AQ2044" s="250">
        <f>AS1392</f>
        <v>0.46614546977523386</v>
      </c>
      <c r="AR2044" s="250">
        <f>+AU1392</f>
        <v>0.5185587824196304</v>
      </c>
    </row>
    <row r="2045" spans="39:44" ht="18" customHeight="1">
      <c r="AM2045" s="74">
        <v>2</v>
      </c>
      <c r="AN2045" s="78"/>
      <c r="AO2045" s="18"/>
      <c r="AP2045" s="235" t="s">
        <v>1617</v>
      </c>
      <c r="AQ2045" s="250">
        <f>AS1393</f>
        <v>0.1731118246544744</v>
      </c>
      <c r="AR2045" s="250">
        <f>+AU1393</f>
        <v>0.1713516591603251</v>
      </c>
    </row>
    <row r="2046" spans="39:45" ht="18" customHeight="1">
      <c r="AM2046" s="74">
        <v>3</v>
      </c>
      <c r="AN2046" s="18"/>
      <c r="AO2046" s="18"/>
      <c r="AP2046" s="235" t="s">
        <v>1146</v>
      </c>
      <c r="AQ2046" s="250">
        <f>AS1394</f>
        <v>0.0047931499837125975</v>
      </c>
      <c r="AR2046" s="250">
        <f>+AU1394</f>
        <v>0.02200134596469431</v>
      </c>
      <c r="AS2046" s="64"/>
    </row>
    <row r="2047" spans="39:44" ht="18" customHeight="1">
      <c r="AM2047" s="74">
        <v>4</v>
      </c>
      <c r="AN2047" s="18"/>
      <c r="AO2047" s="18"/>
      <c r="AP2047" s="235" t="s">
        <v>1212</v>
      </c>
      <c r="AQ2047" s="250">
        <f>AS1396</f>
        <v>0.2719996277165061</v>
      </c>
      <c r="AR2047" s="250">
        <f>+AU1396</f>
        <v>0.18004866180048662</v>
      </c>
    </row>
    <row r="2048" spans="39:44" ht="18" customHeight="1">
      <c r="AM2048" s="74">
        <v>5</v>
      </c>
      <c r="AN2048" s="18"/>
      <c r="AO2048" s="18"/>
      <c r="AP2048" s="235" t="s">
        <v>29</v>
      </c>
      <c r="AQ2048" s="250">
        <f>AS1397</f>
        <v>0.03536693191865606</v>
      </c>
      <c r="AR2048" s="250">
        <f>+AU1397</f>
        <v>0.05093958689237459</v>
      </c>
    </row>
    <row r="2049" spans="39:44" ht="18" customHeight="1">
      <c r="AM2049" s="74">
        <v>6</v>
      </c>
      <c r="AN2049" s="18"/>
      <c r="AO2049" s="18"/>
      <c r="AP2049" s="235" t="s">
        <v>1145</v>
      </c>
      <c r="AQ2049" s="250">
        <f>1-SUM(AQ2044:AQ2048)</f>
        <v>0.04858299595141702</v>
      </c>
      <c r="AR2049" s="250">
        <f>1-SUM(AR2044:AR2048)</f>
        <v>0.05709996376248905</v>
      </c>
    </row>
    <row r="2050" spans="39:44" ht="18" customHeight="1">
      <c r="AM2050" s="18"/>
      <c r="AN2050" s="18"/>
      <c r="AO2050" s="18"/>
      <c r="AP2050" s="18"/>
      <c r="AQ2050" s="18"/>
      <c r="AR2050" s="18"/>
    </row>
    <row r="2051" spans="39:44" ht="18" customHeight="1">
      <c r="AM2051" s="67" t="s">
        <v>2038</v>
      </c>
      <c r="AN2051" s="67"/>
      <c r="AO2051" s="67"/>
      <c r="AP2051" s="67"/>
      <c r="AQ2051" s="67"/>
      <c r="AR2051" s="67"/>
    </row>
    <row r="2052" spans="39:45" ht="25.5">
      <c r="AM2052" s="237" t="s">
        <v>1612</v>
      </c>
      <c r="AN2052" s="238" t="s">
        <v>1613</v>
      </c>
      <c r="AO2052" s="239"/>
      <c r="AP2052" s="240"/>
      <c r="AQ2052" s="244" t="s">
        <v>1673</v>
      </c>
      <c r="AR2052" s="241" t="s">
        <v>1672</v>
      </c>
      <c r="AS2052" s="600" t="str">
        <f>+' -'!$E$21</f>
        <v>Програмата за финансов анализ е лицензирана на:</v>
      </c>
    </row>
    <row r="2053" spans="39:45" ht="18" customHeight="1">
      <c r="AM2053" s="74">
        <v>1</v>
      </c>
      <c r="AN2053" s="78"/>
      <c r="AO2053" s="18"/>
      <c r="AP2053" s="235" t="s">
        <v>238</v>
      </c>
      <c r="AQ2053" s="249">
        <f>AS1401</f>
        <v>0.6996400287976962</v>
      </c>
      <c r="AR2053" s="249">
        <f>AU1401</f>
        <v>0.5469288724300856</v>
      </c>
      <c r="AS2053" s="601"/>
    </row>
    <row r="2054" spans="39:45" ht="18" customHeight="1">
      <c r="AM2054" s="74">
        <v>2</v>
      </c>
      <c r="AN2054" s="18"/>
      <c r="AO2054" s="18"/>
      <c r="AP2054" s="235" t="s">
        <v>2198</v>
      </c>
      <c r="AQ2054" s="249">
        <f>AS1404</f>
        <v>0.1544996400287977</v>
      </c>
      <c r="AR2054" s="249">
        <f>AU1404</f>
        <v>0.12246200996041375</v>
      </c>
      <c r="AS2054" s="600" t="str">
        <f>+' -'!$E$22</f>
        <v>"В И Н З А В О Д"  А Д - гр. АСЕНОВГРАД</v>
      </c>
    </row>
    <row r="2055" spans="39:44" ht="18" customHeight="1">
      <c r="AM2055" s="74">
        <v>3</v>
      </c>
      <c r="AN2055" s="18"/>
      <c r="AO2055" s="18"/>
      <c r="AP2055" s="235" t="s">
        <v>1346</v>
      </c>
      <c r="AQ2055" s="249">
        <f>AS1406</f>
        <v>0.061627069834413246</v>
      </c>
      <c r="AR2055" s="249">
        <f>AU1406</f>
        <v>0.03601072659941259</v>
      </c>
    </row>
    <row r="2056" spans="39:44" ht="18" customHeight="1">
      <c r="AM2056" s="74">
        <v>4</v>
      </c>
      <c r="AN2056" s="18"/>
      <c r="AO2056" s="18"/>
      <c r="AP2056" s="235" t="s">
        <v>709</v>
      </c>
      <c r="AQ2056" s="249">
        <f>AS1409</f>
        <v>0.005039596832253419</v>
      </c>
      <c r="AR2056" s="249">
        <f>AU1409</f>
        <v>0.004086323585748946</v>
      </c>
    </row>
    <row r="2057" spans="39:44" ht="18" customHeight="1">
      <c r="AM2057" s="74">
        <v>5</v>
      </c>
      <c r="AN2057" s="18"/>
      <c r="AO2057" s="18"/>
      <c r="AP2057" s="235" t="s">
        <v>1147</v>
      </c>
      <c r="AQ2057" s="249">
        <f>AS1412</f>
        <v>0.014830813534917206</v>
      </c>
      <c r="AR2057" s="249">
        <f>AU1412</f>
        <v>0.05427148512322819</v>
      </c>
    </row>
    <row r="2058" spans="39:44" ht="18" customHeight="1">
      <c r="AM2058" s="74">
        <v>6</v>
      </c>
      <c r="AN2058" s="18"/>
      <c r="AO2058" s="18"/>
      <c r="AP2058" s="235" t="s">
        <v>58</v>
      </c>
      <c r="AQ2058" s="249">
        <f>1-SUM(AQ2053:AQ2057)</f>
        <v>0.06436285097192229</v>
      </c>
      <c r="AR2058" s="249">
        <f>1-SUM(AR2053:AR2057)</f>
        <v>0.2362405823011109</v>
      </c>
    </row>
    <row r="2059" spans="39:44" ht="18" customHeight="1">
      <c r="AM2059" s="18"/>
      <c r="AN2059" s="18"/>
      <c r="AO2059" s="18"/>
      <c r="AP2059" s="18"/>
      <c r="AQ2059" s="18"/>
      <c r="AR2059" s="18"/>
    </row>
    <row r="2060" spans="39:44" ht="18" customHeight="1">
      <c r="AM2060" s="67" t="s">
        <v>2039</v>
      </c>
      <c r="AN2060" s="67"/>
      <c r="AO2060" s="67"/>
      <c r="AP2060" s="67"/>
      <c r="AQ2060" s="67"/>
      <c r="AR2060" s="67"/>
    </row>
    <row r="2061" spans="39:44" ht="25.5">
      <c r="AM2061" s="237" t="s">
        <v>1612</v>
      </c>
      <c r="AN2061" s="238" t="s">
        <v>1613</v>
      </c>
      <c r="AO2061" s="239"/>
      <c r="AP2061" s="240"/>
      <c r="AQ2061" s="244" t="s">
        <v>1673</v>
      </c>
      <c r="AR2061" s="241" t="s">
        <v>1672</v>
      </c>
    </row>
    <row r="2062" spans="39:44" ht="18" customHeight="1">
      <c r="AM2062" s="74">
        <v>1</v>
      </c>
      <c r="AN2062" s="78"/>
      <c r="AO2062" s="18"/>
      <c r="AP2062" s="235" t="s">
        <v>832</v>
      </c>
      <c r="AQ2062" s="249">
        <f>AS1415</f>
        <v>0.9629949604031678</v>
      </c>
      <c r="AR2062" s="249">
        <f>AU1415</f>
        <v>0.9587536713063466</v>
      </c>
    </row>
    <row r="2063" spans="39:44" ht="18" customHeight="1">
      <c r="AM2063" s="74">
        <v>2</v>
      </c>
      <c r="AN2063" s="78"/>
      <c r="AO2063" s="18"/>
      <c r="AP2063" s="235" t="s">
        <v>833</v>
      </c>
      <c r="AQ2063" s="249">
        <f>AS1416</f>
        <v>0.010511159107271418</v>
      </c>
      <c r="AR2063" s="249">
        <f>AU1416</f>
        <v>0.04124632869365343</v>
      </c>
    </row>
    <row r="2064" spans="39:44" ht="18" customHeight="1">
      <c r="AM2064" s="74">
        <v>3</v>
      </c>
      <c r="AN2064" s="18"/>
      <c r="AO2064" s="18"/>
      <c r="AP2064" s="235" t="s">
        <v>707</v>
      </c>
      <c r="AQ2064" s="249">
        <f>AS1417</f>
        <v>0.026493880489560834</v>
      </c>
      <c r="AR2064" s="249">
        <f>AU1417</f>
        <v>0</v>
      </c>
    </row>
    <row r="2065" spans="39:45" ht="18" customHeight="1">
      <c r="AM2065" s="74">
        <v>4</v>
      </c>
      <c r="AN2065" s="18"/>
      <c r="AO2065" s="18"/>
      <c r="AP2065" s="235" t="s">
        <v>837</v>
      </c>
      <c r="AQ2065" s="249">
        <f>AS1418+AS1419+AS1420</f>
        <v>0</v>
      </c>
      <c r="AR2065" s="249">
        <f>AU1418+AU361+AU1420</f>
        <v>0</v>
      </c>
      <c r="AS2065" s="64"/>
    </row>
    <row r="2066" spans="39:44" ht="18" customHeight="1">
      <c r="AM2066" s="74">
        <v>5</v>
      </c>
      <c r="AN2066" s="18"/>
      <c r="AO2066" s="18"/>
      <c r="AP2066" s="235" t="s">
        <v>838</v>
      </c>
      <c r="AQ2066" s="249">
        <f>AS1421</f>
        <v>0</v>
      </c>
      <c r="AR2066" s="249">
        <f>AU1421</f>
        <v>0</v>
      </c>
    </row>
    <row r="2067" spans="39:44" ht="18" customHeight="1">
      <c r="AM2067" s="74"/>
      <c r="AN2067" s="18"/>
      <c r="AO2067" s="18"/>
      <c r="AP2067" s="20"/>
      <c r="AQ2067" s="242"/>
      <c r="AR2067" s="242"/>
    </row>
    <row r="2068" spans="39:44" ht="18" customHeight="1">
      <c r="AM2068" s="67" t="s">
        <v>1519</v>
      </c>
      <c r="AN2068" s="67"/>
      <c r="AO2068" s="67"/>
      <c r="AP2068" s="67"/>
      <c r="AQ2068" s="67"/>
      <c r="AR2068" s="67"/>
    </row>
    <row r="2069" spans="39:44" ht="25.5">
      <c r="AM2069" s="237" t="s">
        <v>1612</v>
      </c>
      <c r="AN2069" s="238" t="s">
        <v>1613</v>
      </c>
      <c r="AO2069" s="239"/>
      <c r="AP2069" s="240"/>
      <c r="AQ2069" s="244" t="s">
        <v>1673</v>
      </c>
      <c r="AR2069" s="241" t="s">
        <v>1672</v>
      </c>
    </row>
    <row r="2070" spans="39:44" ht="18" customHeight="1">
      <c r="AM2070" s="74">
        <v>1</v>
      </c>
      <c r="AN2070" s="78"/>
      <c r="AO2070" s="18"/>
      <c r="AP2070" s="20" t="s">
        <v>2326</v>
      </c>
      <c r="AQ2070" s="133">
        <f>K251</f>
        <v>6945</v>
      </c>
      <c r="AR2070" s="133">
        <f>L251</f>
        <v>7831</v>
      </c>
    </row>
    <row r="2071" spans="39:44" ht="18" customHeight="1">
      <c r="AM2071" s="74">
        <v>2</v>
      </c>
      <c r="AN2071" s="78"/>
      <c r="AO2071" s="18"/>
      <c r="AP2071" s="20" t="s">
        <v>2327</v>
      </c>
      <c r="AQ2071" s="133">
        <f>K213</f>
        <v>6807</v>
      </c>
      <c r="AR2071" s="133">
        <f>L213</f>
        <v>7374</v>
      </c>
    </row>
    <row r="2072" spans="39:44" ht="18" customHeight="1">
      <c r="AM2072" s="74">
        <v>3</v>
      </c>
      <c r="AN2072" s="18"/>
      <c r="AO2072" s="18"/>
      <c r="AP2072" s="20" t="s">
        <v>1146</v>
      </c>
      <c r="AQ2072" s="246">
        <f>$K$222-$K$257</f>
        <v>103</v>
      </c>
      <c r="AR2072" s="246">
        <f>$L$222-$L$257</f>
        <v>425</v>
      </c>
    </row>
    <row r="2073" spans="39:44" ht="18" customHeight="1">
      <c r="AM2073" s="18"/>
      <c r="AN2073" s="18"/>
      <c r="AO2073" s="18"/>
      <c r="AP2073" s="18"/>
      <c r="AQ2073" s="18"/>
      <c r="AR2073" s="18"/>
    </row>
    <row r="2074" spans="39:44" ht="18" customHeight="1">
      <c r="AM2074" s="67" t="s">
        <v>2040</v>
      </c>
      <c r="AN2074" s="67"/>
      <c r="AO2074" s="67"/>
      <c r="AP2074" s="67"/>
      <c r="AQ2074" s="67"/>
      <c r="AR2074" s="67"/>
    </row>
    <row r="2075" spans="39:44" ht="25.5">
      <c r="AM2075" s="237" t="s">
        <v>1612</v>
      </c>
      <c r="AN2075" s="238" t="s">
        <v>1613</v>
      </c>
      <c r="AO2075" s="239"/>
      <c r="AP2075" s="240"/>
      <c r="AQ2075" s="244" t="s">
        <v>1673</v>
      </c>
      <c r="AR2075" s="241" t="s">
        <v>1672</v>
      </c>
    </row>
    <row r="2076" spans="39:44" ht="18" customHeight="1">
      <c r="AM2076" s="74">
        <v>1</v>
      </c>
      <c r="AN2076" s="78"/>
      <c r="AO2076" s="18"/>
      <c r="AP2076" s="20" t="s">
        <v>859</v>
      </c>
      <c r="AQ2076" s="133">
        <f>K187</f>
        <v>442</v>
      </c>
      <c r="AR2076" s="133">
        <f>L187</f>
        <v>462</v>
      </c>
    </row>
    <row r="2077" spans="39:44" ht="18" customHeight="1">
      <c r="AM2077" s="74">
        <v>2</v>
      </c>
      <c r="AN2077" s="78"/>
      <c r="AO2077" s="18"/>
      <c r="AP2077" s="20" t="s">
        <v>1520</v>
      </c>
      <c r="AQ2077" s="133">
        <f>K203</f>
        <v>289</v>
      </c>
      <c r="AR2077" s="133">
        <f>L203</f>
        <v>210</v>
      </c>
    </row>
    <row r="2078" spans="39:44" ht="18" customHeight="1">
      <c r="AM2078" s="74">
        <v>3</v>
      </c>
      <c r="AN2078" s="18"/>
      <c r="AO2078" s="18"/>
      <c r="AP2078" s="20" t="s">
        <v>709</v>
      </c>
      <c r="AQ2078" s="133">
        <f>K215</f>
        <v>35</v>
      </c>
      <c r="AR2078" s="133">
        <f>L215</f>
        <v>32</v>
      </c>
    </row>
    <row r="2079" spans="39:44" ht="18" customHeight="1">
      <c r="AM2079" s="74">
        <v>4</v>
      </c>
      <c r="AN2079" s="18"/>
      <c r="AO2079" s="18"/>
      <c r="AP2079" s="20" t="s">
        <v>1146</v>
      </c>
      <c r="AQ2079" s="246">
        <f>$K$222-$K$257</f>
        <v>103</v>
      </c>
      <c r="AR2079" s="246">
        <f>$L$222-$L$257</f>
        <v>425</v>
      </c>
    </row>
    <row r="2080" spans="39:44" ht="18" customHeight="1">
      <c r="AM2080" s="74"/>
      <c r="AN2080" s="18"/>
      <c r="AO2080" s="18"/>
      <c r="AP2080" s="20"/>
      <c r="AQ2080" s="133"/>
      <c r="AR2080" s="133"/>
    </row>
    <row r="2081" spans="39:44" ht="18" customHeight="1">
      <c r="AM2081" s="67" t="s">
        <v>1521</v>
      </c>
      <c r="AN2081" s="67"/>
      <c r="AO2081" s="67"/>
      <c r="AP2081" s="67"/>
      <c r="AQ2081" s="67"/>
      <c r="AR2081" s="67"/>
    </row>
    <row r="2082" spans="39:44" ht="25.5">
      <c r="AM2082" s="237" t="s">
        <v>1612</v>
      </c>
      <c r="AN2082" s="238" t="s">
        <v>1613</v>
      </c>
      <c r="AO2082" s="239"/>
      <c r="AP2082" s="240"/>
      <c r="AQ2082" s="244" t="s">
        <v>1673</v>
      </c>
      <c r="AR2082" s="241" t="s">
        <v>1672</v>
      </c>
    </row>
    <row r="2083" spans="39:44" ht="18" customHeight="1">
      <c r="AM2083" s="74">
        <v>1</v>
      </c>
      <c r="AN2083" s="78"/>
      <c r="AO2083" s="18"/>
      <c r="AP2083" s="20" t="s">
        <v>2041</v>
      </c>
      <c r="AQ2083" s="133">
        <f>P294</f>
        <v>7156</v>
      </c>
      <c r="AR2083" s="133">
        <f>S294</f>
        <v>6562</v>
      </c>
    </row>
    <row r="2084" spans="39:44" ht="18" customHeight="1">
      <c r="AM2084" s="74">
        <v>2</v>
      </c>
      <c r="AN2084" s="78"/>
      <c r="AO2084" s="18"/>
      <c r="AP2084" s="20" t="s">
        <v>1522</v>
      </c>
      <c r="AQ2084" s="133">
        <f>P308</f>
        <v>0</v>
      </c>
      <c r="AR2084" s="133">
        <f>S308</f>
        <v>0</v>
      </c>
    </row>
    <row r="2085" spans="39:44" ht="18" customHeight="1">
      <c r="AM2085" s="74">
        <v>3</v>
      </c>
      <c r="AN2085" s="18"/>
      <c r="AO2085" s="18"/>
      <c r="AP2085" s="20" t="s">
        <v>1523</v>
      </c>
      <c r="AQ2085" s="133">
        <f>P328</f>
        <v>5329</v>
      </c>
      <c r="AR2085" s="133">
        <f>S328</f>
        <v>2253</v>
      </c>
    </row>
    <row r="2086" spans="39:44" ht="18" customHeight="1">
      <c r="AM2086" s="74"/>
      <c r="AN2086" s="18"/>
      <c r="AO2086" s="18"/>
      <c r="AP2086" s="20"/>
      <c r="AQ2086" s="133"/>
      <c r="AR2086" s="133"/>
    </row>
    <row r="2087" spans="39:44" ht="18" customHeight="1">
      <c r="AM2087" s="67" t="s">
        <v>1524</v>
      </c>
      <c r="AN2087" s="67"/>
      <c r="AO2087" s="67"/>
      <c r="AP2087" s="67"/>
      <c r="AQ2087" s="67"/>
      <c r="AR2087" s="67"/>
    </row>
    <row r="2088" spans="39:44" ht="25.5">
      <c r="AM2088" s="237" t="s">
        <v>1612</v>
      </c>
      <c r="AN2088" s="238" t="s">
        <v>1613</v>
      </c>
      <c r="AO2088" s="239"/>
      <c r="AP2088" s="240"/>
      <c r="AQ2088" s="244" t="s">
        <v>1673</v>
      </c>
      <c r="AR2088" s="241" t="s">
        <v>1672</v>
      </c>
    </row>
    <row r="2089" spans="39:44" ht="18" customHeight="1">
      <c r="AM2089" s="74">
        <v>1</v>
      </c>
      <c r="AN2089" s="78"/>
      <c r="AO2089" s="18"/>
      <c r="AP2089" s="20" t="s">
        <v>2042</v>
      </c>
      <c r="AQ2089" s="133">
        <f>Q294</f>
        <v>7508</v>
      </c>
      <c r="AR2089" s="133">
        <f>T294</f>
        <v>5936</v>
      </c>
    </row>
    <row r="2090" spans="39:44" ht="18" customHeight="1">
      <c r="AM2090" s="74">
        <v>2</v>
      </c>
      <c r="AN2090" s="78"/>
      <c r="AO2090" s="18"/>
      <c r="AP2090" s="20" t="s">
        <v>1525</v>
      </c>
      <c r="AQ2090" s="133">
        <f>Q308</f>
        <v>246</v>
      </c>
      <c r="AR2090" s="133">
        <f>T308</f>
        <v>56</v>
      </c>
    </row>
    <row r="2091" spans="39:44" ht="18" customHeight="1">
      <c r="AM2091" s="74">
        <v>3</v>
      </c>
      <c r="AN2091" s="18"/>
      <c r="AO2091" s="18"/>
      <c r="AP2091" s="20" t="s">
        <v>1526</v>
      </c>
      <c r="AQ2091" s="133">
        <f>Q328</f>
        <v>4845</v>
      </c>
      <c r="AR2091" s="133">
        <f>T328</f>
        <v>2760</v>
      </c>
    </row>
    <row r="2092" ht="18" customHeight="1">
      <c r="BF2092" s="582"/>
    </row>
    <row r="2093" spans="39:47" ht="18" customHeight="1">
      <c r="AM2093" s="600" t="str">
        <f>+' -'!$E$21</f>
        <v>Програмата за финансов анализ е лицензирана на:</v>
      </c>
      <c r="AN2093" s="581"/>
      <c r="AO2093" s="581"/>
      <c r="AP2093" s="581"/>
      <c r="AQ2093" s="581"/>
      <c r="AR2093" s="581"/>
      <c r="AS2093" s="581"/>
      <c r="AT2093" s="581"/>
      <c r="AU2093" s="581"/>
    </row>
    <row r="2094" spans="39:41" ht="18" customHeight="1">
      <c r="AM2094" s="601"/>
      <c r="AN2094" s="10"/>
      <c r="AO2094" s="10"/>
    </row>
    <row r="2095" spans="39:47" ht="18" customHeight="1">
      <c r="AM2095" s="600" t="str">
        <f>+' -'!$E$22</f>
        <v>"В И Н З А В О Д"  А Д - гр. АСЕНОВГРАД</v>
      </c>
      <c r="AN2095" s="581"/>
      <c r="AO2095" s="581"/>
      <c r="AP2095" s="581"/>
      <c r="AQ2095" s="581"/>
      <c r="AR2095" s="581"/>
      <c r="AS2095" s="581"/>
      <c r="AT2095" s="581"/>
      <c r="AU2095" s="581"/>
    </row>
    <row r="2097" spans="39:47" ht="18" customHeight="1">
      <c r="AM2097" s="280" t="s">
        <v>1193</v>
      </c>
      <c r="AN2097" s="280"/>
      <c r="AO2097" s="280"/>
      <c r="AP2097" s="280"/>
      <c r="AQ2097" s="280"/>
      <c r="AR2097" s="280"/>
      <c r="AS2097" s="280"/>
      <c r="AT2097" s="280"/>
      <c r="AU2097" s="67"/>
    </row>
    <row r="2098" spans="39:47" ht="8.25" customHeight="1">
      <c r="AM2098" s="154"/>
      <c r="AN2098" s="67"/>
      <c r="AO2098" s="154"/>
      <c r="AP2098" s="154"/>
      <c r="AQ2098" s="154"/>
      <c r="AR2098" s="154"/>
      <c r="AS2098" s="154"/>
      <c r="AT2098" s="154"/>
      <c r="AU2098" s="67"/>
    </row>
    <row r="2099" spans="39:47" ht="18" customHeight="1">
      <c r="AM2099" s="280" t="s">
        <v>1194</v>
      </c>
      <c r="AN2099" s="67"/>
      <c r="AO2099" s="154"/>
      <c r="AP2099" s="154"/>
      <c r="AQ2099" s="154"/>
      <c r="AR2099" s="154"/>
      <c r="AS2099" s="154"/>
      <c r="AT2099" s="154"/>
      <c r="AU2099" s="67"/>
    </row>
    <row r="2100" spans="39:47" ht="7.5" customHeight="1">
      <c r="AM2100" s="281"/>
      <c r="AN2100" s="67"/>
      <c r="AO2100" s="154"/>
      <c r="AP2100" s="154"/>
      <c r="AQ2100" s="154"/>
      <c r="AR2100" s="154"/>
      <c r="AS2100" s="154"/>
      <c r="AT2100" s="154"/>
      <c r="AU2100" s="18"/>
    </row>
    <row r="2101" spans="39:47" ht="18" customHeight="1">
      <c r="AM2101" s="282">
        <v>1</v>
      </c>
      <c r="AN2101" s="153" t="s">
        <v>1195</v>
      </c>
      <c r="AO2101" s="153"/>
      <c r="AP2101" s="153"/>
      <c r="AQ2101" s="153"/>
      <c r="AR2101" s="153"/>
      <c r="AS2101" s="153"/>
      <c r="AT2101" s="153"/>
      <c r="AU2101" s="18"/>
    </row>
    <row r="2102" spans="39:47" ht="18" customHeight="1">
      <c r="AM2102" s="282">
        <v>2</v>
      </c>
      <c r="AN2102" s="153" t="s">
        <v>536</v>
      </c>
      <c r="AO2102" s="153"/>
      <c r="AP2102" s="153"/>
      <c r="AQ2102" s="153"/>
      <c r="AR2102" s="153"/>
      <c r="AS2102" s="153"/>
      <c r="AT2102" s="153"/>
      <c r="AU2102" s="18"/>
    </row>
    <row r="2103" spans="39:47" ht="18" customHeight="1">
      <c r="AM2103" s="282">
        <v>3</v>
      </c>
      <c r="AN2103" s="153" t="s">
        <v>537</v>
      </c>
      <c r="AO2103" s="153"/>
      <c r="AP2103" s="153"/>
      <c r="AQ2103" s="153"/>
      <c r="AR2103" s="153"/>
      <c r="AS2103" s="153"/>
      <c r="AT2103" s="153"/>
      <c r="AU2103" s="18"/>
    </row>
    <row r="2104" spans="39:47" ht="18" customHeight="1">
      <c r="AM2104" s="282">
        <v>4</v>
      </c>
      <c r="AN2104" s="153" t="s">
        <v>68</v>
      </c>
      <c r="AO2104" s="153"/>
      <c r="AP2104" s="153"/>
      <c r="AQ2104" s="153"/>
      <c r="AR2104" s="153"/>
      <c r="AS2104" s="153"/>
      <c r="AT2104" s="153"/>
      <c r="AU2104" s="18"/>
    </row>
    <row r="2105" spans="39:47" ht="18" customHeight="1">
      <c r="AM2105" s="282">
        <v>5</v>
      </c>
      <c r="AN2105" s="153" t="s">
        <v>69</v>
      </c>
      <c r="AO2105" s="153"/>
      <c r="AP2105" s="153"/>
      <c r="AQ2105" s="153"/>
      <c r="AR2105" s="153"/>
      <c r="AS2105" s="153"/>
      <c r="AT2105" s="153"/>
      <c r="AU2105" s="18"/>
    </row>
    <row r="2106" spans="39:47" ht="18" customHeight="1">
      <c r="AM2106" s="282"/>
      <c r="AN2106" s="283" t="s">
        <v>70</v>
      </c>
      <c r="AO2106" s="153"/>
      <c r="AP2106" s="153"/>
      <c r="AQ2106" s="153"/>
      <c r="AR2106" s="153"/>
      <c r="AS2106" s="153"/>
      <c r="AT2106" s="153"/>
      <c r="AU2106" s="18"/>
    </row>
    <row r="2107" spans="39:47" ht="18" customHeight="1">
      <c r="AM2107" s="282">
        <v>6</v>
      </c>
      <c r="AN2107" s="153" t="s">
        <v>71</v>
      </c>
      <c r="AO2107" s="153"/>
      <c r="AP2107" s="153"/>
      <c r="AQ2107" s="153"/>
      <c r="AR2107" s="153"/>
      <c r="AS2107" s="153"/>
      <c r="AT2107" s="153"/>
      <c r="AU2107" s="18"/>
    </row>
    <row r="2108" spans="39:47" ht="18" customHeight="1">
      <c r="AM2108" s="282">
        <v>7</v>
      </c>
      <c r="AN2108" s="153" t="s">
        <v>72</v>
      </c>
      <c r="AO2108" s="153"/>
      <c r="AP2108" s="153"/>
      <c r="AQ2108" s="153"/>
      <c r="AR2108" s="153"/>
      <c r="AS2108" s="153"/>
      <c r="AT2108" s="153"/>
      <c r="AU2108" s="18"/>
    </row>
    <row r="2109" spans="39:47" ht="18" customHeight="1">
      <c r="AM2109" s="282">
        <v>8</v>
      </c>
      <c r="AN2109" s="153" t="s">
        <v>538</v>
      </c>
      <c r="AO2109" s="153"/>
      <c r="AP2109" s="153"/>
      <c r="AQ2109" s="153"/>
      <c r="AR2109" s="153"/>
      <c r="AS2109" s="153"/>
      <c r="AT2109" s="153"/>
      <c r="AU2109" s="18"/>
    </row>
    <row r="2110" spans="39:47" ht="18" customHeight="1">
      <c r="AM2110" s="284"/>
      <c r="AN2110" s="285" t="s">
        <v>73</v>
      </c>
      <c r="AO2110" s="284"/>
      <c r="AP2110" s="284"/>
      <c r="AQ2110" s="284"/>
      <c r="AR2110" s="284"/>
      <c r="AS2110" s="284"/>
      <c r="AT2110" s="284"/>
      <c r="AU2110" s="286"/>
    </row>
    <row r="2111" spans="39:47" ht="18" customHeight="1">
      <c r="AM2111" s="284" t="s">
        <v>823</v>
      </c>
      <c r="AN2111" s="284"/>
      <c r="AO2111" s="284"/>
      <c r="AP2111" s="284"/>
      <c r="AQ2111" s="284"/>
      <c r="AR2111" s="284"/>
      <c r="AS2111" s="284"/>
      <c r="AT2111" s="284"/>
      <c r="AU2111" s="286"/>
    </row>
    <row r="2112" spans="39:47" ht="18" customHeight="1">
      <c r="AM2112" s="285" t="s">
        <v>824</v>
      </c>
      <c r="AN2112" s="284"/>
      <c r="AO2112" s="284"/>
      <c r="AP2112" s="284"/>
      <c r="AQ2112" s="284"/>
      <c r="AR2112" s="284"/>
      <c r="AS2112" s="284"/>
      <c r="AT2112" s="284"/>
      <c r="AU2112" s="286"/>
    </row>
    <row r="2113" spans="39:47" ht="18" customHeight="1">
      <c r="AM2113" s="287" t="s">
        <v>825</v>
      </c>
      <c r="AN2113" s="258"/>
      <c r="AO2113" s="288" t="s">
        <v>933</v>
      </c>
      <c r="AP2113" s="288"/>
      <c r="AQ2113" s="288"/>
      <c r="AR2113" s="288"/>
      <c r="AS2113" s="288"/>
      <c r="AT2113" s="288"/>
      <c r="AU2113" s="289"/>
    </row>
    <row r="2114" spans="39:47" ht="18" customHeight="1">
      <c r="AM2114" s="290"/>
      <c r="AN2114" s="261" t="s">
        <v>934</v>
      </c>
      <c r="AO2114" s="261"/>
      <c r="AP2114" s="261"/>
      <c r="AQ2114" s="261"/>
      <c r="AR2114" s="261"/>
      <c r="AS2114" s="261"/>
      <c r="AT2114" s="261"/>
      <c r="AU2114" s="291"/>
    </row>
    <row r="2115" spans="39:47" ht="18" customHeight="1">
      <c r="AM2115" s="290"/>
      <c r="AN2115" s="261" t="s">
        <v>935</v>
      </c>
      <c r="AO2115" s="261"/>
      <c r="AP2115" s="261"/>
      <c r="AQ2115" s="261"/>
      <c r="AR2115" s="261"/>
      <c r="AS2115" s="261"/>
      <c r="AT2115" s="261"/>
      <c r="AU2115" s="291"/>
    </row>
    <row r="2116" spans="39:47" ht="18" customHeight="1">
      <c r="AM2116" s="292"/>
      <c r="AN2116" s="293" t="s">
        <v>1397</v>
      </c>
      <c r="AO2116" s="293"/>
      <c r="AP2116" s="293"/>
      <c r="AQ2116" s="293"/>
      <c r="AR2116" s="293"/>
      <c r="AS2116" s="293"/>
      <c r="AT2116" s="293"/>
      <c r="AU2116" s="260"/>
    </row>
    <row r="2117" spans="39:47" ht="18" customHeight="1">
      <c r="AM2117" s="153"/>
      <c r="AN2117" s="18" t="s">
        <v>924</v>
      </c>
      <c r="AO2117" s="153"/>
      <c r="AP2117" s="153"/>
      <c r="AQ2117" s="153"/>
      <c r="AR2117" s="153"/>
      <c r="AS2117" s="153"/>
      <c r="AT2117" s="153"/>
      <c r="AU2117" s="18"/>
    </row>
    <row r="2118" spans="39:47" ht="18" customHeight="1">
      <c r="AM2118" s="18" t="s">
        <v>925</v>
      </c>
      <c r="AN2118" s="18"/>
      <c r="AO2118" s="153"/>
      <c r="AP2118" s="153"/>
      <c r="AQ2118" s="153"/>
      <c r="AR2118" s="153"/>
      <c r="AS2118" s="153"/>
      <c r="AT2118" s="153"/>
      <c r="AU2118" s="18"/>
    </row>
    <row r="2119" spans="39:47" ht="18" customHeight="1">
      <c r="AM2119" s="282" t="s">
        <v>926</v>
      </c>
      <c r="AN2119" s="153" t="s">
        <v>927</v>
      </c>
      <c r="AO2119" s="153"/>
      <c r="AP2119" s="153"/>
      <c r="AQ2119" s="153"/>
      <c r="AR2119" s="153"/>
      <c r="AS2119" s="153"/>
      <c r="AT2119" s="153"/>
      <c r="AU2119" s="18"/>
    </row>
    <row r="2120" spans="39:47" ht="18" customHeight="1">
      <c r="AM2120" s="282" t="s">
        <v>928</v>
      </c>
      <c r="AN2120" s="153" t="s">
        <v>929</v>
      </c>
      <c r="AO2120" s="153"/>
      <c r="AP2120" s="153"/>
      <c r="AQ2120" s="153"/>
      <c r="AR2120" s="153"/>
      <c r="AS2120" s="153"/>
      <c r="AT2120" s="153"/>
      <c r="AU2120" s="18"/>
    </row>
    <row r="2121" spans="39:47" ht="18" customHeight="1">
      <c r="AM2121" s="282" t="s">
        <v>930</v>
      </c>
      <c r="AN2121" s="153" t="s">
        <v>931</v>
      </c>
      <c r="AO2121" s="153"/>
      <c r="AP2121" s="153"/>
      <c r="AQ2121" s="153"/>
      <c r="AR2121" s="153"/>
      <c r="AS2121" s="153"/>
      <c r="AT2121" s="153"/>
      <c r="AU2121" s="18"/>
    </row>
    <row r="2122" spans="39:47" ht="18" customHeight="1">
      <c r="AM2122" s="282"/>
      <c r="AN2122" s="153" t="s">
        <v>2159</v>
      </c>
      <c r="AO2122" s="153"/>
      <c r="AP2122" s="153"/>
      <c r="AQ2122" s="153"/>
      <c r="AR2122" s="153"/>
      <c r="AS2122" s="153"/>
      <c r="AT2122" s="153"/>
      <c r="AU2122" s="18"/>
    </row>
    <row r="2123" spans="39:47" ht="18" customHeight="1">
      <c r="AM2123" s="282"/>
      <c r="AN2123" s="153" t="s">
        <v>932</v>
      </c>
      <c r="AO2123" s="153"/>
      <c r="AP2123" s="153"/>
      <c r="AQ2123" s="153"/>
      <c r="AR2123" s="153"/>
      <c r="AS2123" s="153"/>
      <c r="AT2123" s="153"/>
      <c r="AU2123" s="18"/>
    </row>
    <row r="2124" spans="39:47" ht="18" customHeight="1">
      <c r="AM2124" s="282"/>
      <c r="AN2124" s="153" t="s">
        <v>60</v>
      </c>
      <c r="AO2124" s="153"/>
      <c r="AP2124" s="153"/>
      <c r="AQ2124" s="153"/>
      <c r="AR2124" s="153"/>
      <c r="AS2124" s="153"/>
      <c r="AT2124" s="153"/>
      <c r="AU2124" s="18"/>
    </row>
    <row r="2125" spans="39:47" ht="18" customHeight="1">
      <c r="AM2125" s="282"/>
      <c r="AN2125" s="153" t="s">
        <v>61</v>
      </c>
      <c r="AO2125" s="153"/>
      <c r="AP2125" s="153"/>
      <c r="AQ2125" s="153"/>
      <c r="AR2125" s="153"/>
      <c r="AS2125" s="153"/>
      <c r="AT2125" s="153"/>
      <c r="AU2125" s="18"/>
    </row>
    <row r="2126" spans="39:47" ht="18" customHeight="1">
      <c r="AM2126" s="282" t="s">
        <v>62</v>
      </c>
      <c r="AN2126" s="153" t="s">
        <v>63</v>
      </c>
      <c r="AO2126" s="153"/>
      <c r="AP2126" s="153"/>
      <c r="AQ2126" s="153"/>
      <c r="AR2126" s="153"/>
      <c r="AS2126" s="153"/>
      <c r="AT2126" s="153"/>
      <c r="AU2126" s="18"/>
    </row>
    <row r="2127" spans="39:47" ht="18" customHeight="1">
      <c r="AM2127" s="282" t="s">
        <v>64</v>
      </c>
      <c r="AN2127" s="153" t="s">
        <v>1563</v>
      </c>
      <c r="AO2127" s="153"/>
      <c r="AP2127" s="153"/>
      <c r="AQ2127" s="153"/>
      <c r="AR2127" s="153"/>
      <c r="AS2127" s="153"/>
      <c r="AT2127" s="153"/>
      <c r="AU2127" s="18"/>
    </row>
    <row r="2128" spans="39:47" ht="18" customHeight="1">
      <c r="AM2128" s="282"/>
      <c r="AN2128" s="153" t="s">
        <v>1564</v>
      </c>
      <c r="AO2128" s="153"/>
      <c r="AP2128" s="153"/>
      <c r="AQ2128" s="153"/>
      <c r="AR2128" s="153"/>
      <c r="AS2128" s="153"/>
      <c r="AT2128" s="153"/>
      <c r="AU2128" s="18"/>
    </row>
    <row r="2129" spans="39:47" ht="18" customHeight="1">
      <c r="AM2129" s="282"/>
      <c r="AN2129" s="153" t="s">
        <v>1565</v>
      </c>
      <c r="AO2129" s="153"/>
      <c r="AP2129" s="153"/>
      <c r="AQ2129" s="153"/>
      <c r="AR2129" s="153"/>
      <c r="AS2129" s="153"/>
      <c r="AT2129" s="153"/>
      <c r="AU2129" s="18"/>
    </row>
    <row r="2130" spans="39:47" ht="18" customHeight="1">
      <c r="AM2130" s="282" t="s">
        <v>1566</v>
      </c>
      <c r="AN2130" s="153" t="s">
        <v>1567</v>
      </c>
      <c r="AO2130" s="153"/>
      <c r="AP2130" s="153"/>
      <c r="AQ2130" s="153"/>
      <c r="AR2130" s="153"/>
      <c r="AS2130" s="153"/>
      <c r="AT2130" s="153"/>
      <c r="AU2130" s="18"/>
    </row>
    <row r="2131" spans="39:47" ht="18" customHeight="1">
      <c r="AM2131" s="282"/>
      <c r="AN2131" s="153" t="s">
        <v>1568</v>
      </c>
      <c r="AO2131" s="153"/>
      <c r="AP2131" s="153"/>
      <c r="AQ2131" s="153"/>
      <c r="AR2131" s="153"/>
      <c r="AS2131" s="153"/>
      <c r="AT2131" s="153"/>
      <c r="AU2131" s="18"/>
    </row>
    <row r="2132" spans="39:47" ht="18" customHeight="1">
      <c r="AM2132" s="282"/>
      <c r="AN2132" s="153" t="s">
        <v>1232</v>
      </c>
      <c r="AO2132" s="153"/>
      <c r="AP2132" s="153"/>
      <c r="AQ2132" s="153"/>
      <c r="AR2132" s="153"/>
      <c r="AS2132" s="153"/>
      <c r="AT2132" s="153"/>
      <c r="AU2132" s="18"/>
    </row>
    <row r="2133" spans="39:47" ht="18" customHeight="1">
      <c r="AM2133" s="282"/>
      <c r="AN2133" s="153" t="s">
        <v>1233</v>
      </c>
      <c r="AO2133" s="153"/>
      <c r="AP2133" s="153"/>
      <c r="AQ2133" s="153"/>
      <c r="AR2133" s="153"/>
      <c r="AS2133" s="153"/>
      <c r="AT2133" s="153"/>
      <c r="AU2133" s="18"/>
    </row>
    <row r="2134" spans="39:47" ht="18" customHeight="1">
      <c r="AM2134" s="282" t="s">
        <v>1234</v>
      </c>
      <c r="AN2134" s="153" t="s">
        <v>2370</v>
      </c>
      <c r="AO2134" s="153"/>
      <c r="AP2134" s="153"/>
      <c r="AQ2134" s="153"/>
      <c r="AR2134" s="153"/>
      <c r="AS2134" s="153"/>
      <c r="AT2134" s="153"/>
      <c r="AU2134" s="18"/>
    </row>
    <row r="2135" spans="39:47" ht="18" customHeight="1">
      <c r="AM2135" s="282"/>
      <c r="AN2135" s="153" t="s">
        <v>1006</v>
      </c>
      <c r="AO2135" s="153"/>
      <c r="AP2135" s="153"/>
      <c r="AQ2135" s="153"/>
      <c r="AR2135" s="153"/>
      <c r="AS2135" s="153"/>
      <c r="AT2135" s="153"/>
      <c r="AU2135" s="18"/>
    </row>
    <row r="2136" spans="39:47" ht="18" customHeight="1">
      <c r="AM2136" s="282"/>
      <c r="AN2136" s="153" t="s">
        <v>1007</v>
      </c>
      <c r="AO2136" s="153"/>
      <c r="AP2136" s="153"/>
      <c r="AQ2136" s="153"/>
      <c r="AR2136" s="153"/>
      <c r="AS2136" s="153"/>
      <c r="AT2136" s="153"/>
      <c r="AU2136" s="18"/>
    </row>
    <row r="2137" spans="39:47" ht="18" customHeight="1">
      <c r="AM2137" s="282"/>
      <c r="AN2137" s="153" t="s">
        <v>1008</v>
      </c>
      <c r="AO2137" s="153"/>
      <c r="AP2137" s="153"/>
      <c r="AQ2137" s="153"/>
      <c r="AR2137" s="153"/>
      <c r="AS2137" s="153"/>
      <c r="AT2137" s="153"/>
      <c r="AU2137" s="18"/>
    </row>
    <row r="2138" spans="39:47" ht="18" customHeight="1">
      <c r="AM2138" s="282"/>
      <c r="AN2138" s="153" t="s">
        <v>1009</v>
      </c>
      <c r="AO2138" s="153"/>
      <c r="AP2138" s="153"/>
      <c r="AQ2138" s="153"/>
      <c r="AR2138" s="153"/>
      <c r="AS2138" s="153"/>
      <c r="AT2138" s="153"/>
      <c r="AU2138" s="18"/>
    </row>
    <row r="2139" spans="39:47" ht="18" customHeight="1">
      <c r="AM2139" s="261"/>
      <c r="AN2139" s="294" t="s">
        <v>1010</v>
      </c>
      <c r="AO2139" s="261"/>
      <c r="AP2139" s="261"/>
      <c r="AQ2139" s="261"/>
      <c r="AR2139" s="261"/>
      <c r="AS2139" s="261"/>
      <c r="AT2139" s="261"/>
      <c r="AU2139" s="73"/>
    </row>
    <row r="2140" spans="39:47" ht="18" customHeight="1">
      <c r="AM2140" s="309" t="s">
        <v>2160</v>
      </c>
      <c r="AN2140" s="261"/>
      <c r="AO2140" s="261"/>
      <c r="AP2140" s="261"/>
      <c r="AQ2140" s="261"/>
      <c r="AR2140" s="261"/>
      <c r="AS2140" s="261"/>
      <c r="AT2140" s="261"/>
      <c r="AU2140" s="73"/>
    </row>
    <row r="2141" spans="39:47" ht="18" customHeight="1">
      <c r="AM2141" s="261"/>
      <c r="AN2141" s="261" t="s">
        <v>1011</v>
      </c>
      <c r="AO2141" s="261"/>
      <c r="AP2141" s="261"/>
      <c r="AQ2141" s="261"/>
      <c r="AR2141" s="261"/>
      <c r="AS2141" s="261"/>
      <c r="AT2141" s="261"/>
      <c r="AU2141" s="18"/>
    </row>
    <row r="2142" spans="39:47" ht="18" customHeight="1">
      <c r="AM2142" s="261" t="s">
        <v>1012</v>
      </c>
      <c r="AN2142" s="261"/>
      <c r="AO2142" s="261"/>
      <c r="AP2142" s="261"/>
      <c r="AQ2142" s="261"/>
      <c r="AR2142" s="261"/>
      <c r="AS2142" s="261"/>
      <c r="AT2142" s="261"/>
      <c r="AU2142" s="18"/>
    </row>
    <row r="2143" spans="39:47" ht="18" customHeight="1">
      <c r="AM2143" s="261"/>
      <c r="AN2143" s="261" t="s">
        <v>860</v>
      </c>
      <c r="AO2143" s="261"/>
      <c r="AP2143" s="261"/>
      <c r="AQ2143" s="261"/>
      <c r="AR2143" s="261"/>
      <c r="AS2143" s="261"/>
      <c r="AT2143" s="261"/>
      <c r="AU2143" s="18"/>
    </row>
    <row r="2144" spans="39:47" ht="18" customHeight="1">
      <c r="AM2144" s="261" t="s">
        <v>2008</v>
      </c>
      <c r="AN2144" s="261"/>
      <c r="AO2144" s="261"/>
      <c r="AP2144" s="261"/>
      <c r="AQ2144" s="261"/>
      <c r="AR2144" s="261"/>
      <c r="AS2144" s="261"/>
      <c r="AT2144" s="261"/>
      <c r="AU2144" s="18"/>
    </row>
    <row r="2145" spans="39:47" ht="18" customHeight="1">
      <c r="AM2145" s="261"/>
      <c r="AN2145" s="294" t="s">
        <v>2161</v>
      </c>
      <c r="AO2145" s="261"/>
      <c r="AP2145" s="261"/>
      <c r="AQ2145" s="261"/>
      <c r="AR2145" s="261"/>
      <c r="AS2145" s="261"/>
      <c r="AT2145" s="261"/>
      <c r="AU2145" s="18"/>
    </row>
    <row r="2146" spans="39:47" ht="18" customHeight="1">
      <c r="AM2146" s="261" t="s">
        <v>2162</v>
      </c>
      <c r="AN2146" s="261"/>
      <c r="AO2146" s="261"/>
      <c r="AP2146" s="261"/>
      <c r="AQ2146" s="261"/>
      <c r="AR2146" s="261"/>
      <c r="AS2146" s="261"/>
      <c r="AT2146" s="261"/>
      <c r="AU2146" s="18"/>
    </row>
    <row r="2147" spans="39:47" ht="18" customHeight="1">
      <c r="AM2147" s="261" t="s">
        <v>2163</v>
      </c>
      <c r="AN2147" s="261"/>
      <c r="AO2147" s="261"/>
      <c r="AP2147" s="261"/>
      <c r="AQ2147" s="261"/>
      <c r="AR2147" s="261"/>
      <c r="AS2147" s="261"/>
      <c r="AT2147" s="261"/>
      <c r="AU2147" s="18"/>
    </row>
    <row r="2148" spans="39:47" ht="18" customHeight="1">
      <c r="AM2148" s="261"/>
      <c r="AN2148" s="261" t="s">
        <v>2164</v>
      </c>
      <c r="AO2148" s="261"/>
      <c r="AP2148" s="261"/>
      <c r="AQ2148" s="261"/>
      <c r="AR2148" s="261"/>
      <c r="AS2148" s="261"/>
      <c r="AT2148" s="261"/>
      <c r="AU2148" s="18"/>
    </row>
    <row r="2149" spans="39:47" ht="18" customHeight="1">
      <c r="AM2149" s="261" t="s">
        <v>2329</v>
      </c>
      <c r="AN2149" s="261"/>
      <c r="AO2149" s="261"/>
      <c r="AP2149" s="261"/>
      <c r="AQ2149" s="261"/>
      <c r="AR2149" s="261"/>
      <c r="AS2149" s="261"/>
      <c r="AT2149" s="261"/>
      <c r="AU2149" s="18"/>
    </row>
    <row r="2150" spans="39:47" ht="18" customHeight="1">
      <c r="AM2150" s="18"/>
      <c r="AN2150" s="18" t="s">
        <v>2330</v>
      </c>
      <c r="AO2150" s="18"/>
      <c r="AP2150" s="18"/>
      <c r="AQ2150" s="18"/>
      <c r="AR2150" s="18"/>
      <c r="AS2150" s="18"/>
      <c r="AT2150" s="18"/>
      <c r="AU2150" s="18"/>
    </row>
    <row r="2151" spans="39:47" ht="18" customHeight="1">
      <c r="AM2151" s="18" t="s">
        <v>2331</v>
      </c>
      <c r="AN2151" s="18"/>
      <c r="AO2151" s="18"/>
      <c r="AP2151" s="18"/>
      <c r="AQ2151" s="18"/>
      <c r="AR2151" s="18"/>
      <c r="AS2151" s="18"/>
      <c r="AT2151" s="18"/>
      <c r="AU2151" s="18"/>
    </row>
    <row r="2152" spans="39:47" ht="18" customHeight="1">
      <c r="AM2152" s="18"/>
      <c r="AN2152" s="18" t="s">
        <v>2332</v>
      </c>
      <c r="AO2152" s="18"/>
      <c r="AP2152" s="18"/>
      <c r="AQ2152" s="18"/>
      <c r="AR2152" s="18"/>
      <c r="AS2152" s="18"/>
      <c r="AT2152" s="18"/>
      <c r="AU2152" s="18"/>
    </row>
    <row r="2153" spans="39:47" ht="18" customHeight="1">
      <c r="AM2153" s="18"/>
      <c r="AN2153" s="153" t="s">
        <v>1509</v>
      </c>
      <c r="AO2153" s="153"/>
      <c r="AP2153" s="153"/>
      <c r="AQ2153" s="153"/>
      <c r="AR2153" s="153"/>
      <c r="AS2153" s="153"/>
      <c r="AT2153" s="153"/>
      <c r="AU2153" s="18"/>
    </row>
    <row r="2154" spans="39:47" ht="18" customHeight="1">
      <c r="AM2154" s="18"/>
      <c r="AN2154" s="18"/>
      <c r="AO2154" s="295" t="s">
        <v>1510</v>
      </c>
      <c r="AP2154" s="153"/>
      <c r="AQ2154" s="153"/>
      <c r="AR2154" s="153"/>
      <c r="AS2154" s="153"/>
      <c r="AT2154" s="153"/>
      <c r="AU2154" s="18"/>
    </row>
    <row r="2155" spans="39:47" ht="18" customHeight="1">
      <c r="AM2155" s="18"/>
      <c r="AN2155" s="18"/>
      <c r="AO2155" s="295" t="s">
        <v>1511</v>
      </c>
      <c r="AP2155" s="153"/>
      <c r="AQ2155" s="153"/>
      <c r="AR2155" s="153"/>
      <c r="AS2155" s="153"/>
      <c r="AT2155" s="153"/>
      <c r="AU2155" s="18"/>
    </row>
    <row r="2156" spans="39:47" ht="18" customHeight="1">
      <c r="AM2156" s="153"/>
      <c r="AN2156" s="18"/>
      <c r="AO2156" s="295" t="s">
        <v>1512</v>
      </c>
      <c r="AP2156" s="153"/>
      <c r="AQ2156" s="153"/>
      <c r="AR2156" s="153"/>
      <c r="AS2156" s="153"/>
      <c r="AT2156" s="154"/>
      <c r="AU2156" s="18"/>
    </row>
    <row r="2157" spans="39:47" ht="18" customHeight="1">
      <c r="AM2157" s="18"/>
      <c r="AN2157" s="153" t="s">
        <v>1513</v>
      </c>
      <c r="AO2157" s="295"/>
      <c r="AP2157" s="153"/>
      <c r="AQ2157" s="153"/>
      <c r="AR2157" s="153"/>
      <c r="AS2157" s="153"/>
      <c r="AT2157" s="154"/>
      <c r="AU2157" s="18"/>
    </row>
    <row r="2158" spans="39:47" ht="18" customHeight="1">
      <c r="AM2158" s="296" t="s">
        <v>1514</v>
      </c>
      <c r="AN2158" s="296"/>
      <c r="AO2158" s="297" t="s">
        <v>750</v>
      </c>
      <c r="AP2158" s="298" t="s">
        <v>751</v>
      </c>
      <c r="AQ2158" s="299" t="s">
        <v>752</v>
      </c>
      <c r="AR2158" s="300"/>
      <c r="AS2158" s="300"/>
      <c r="AT2158" s="300"/>
      <c r="AU2158" s="255"/>
    </row>
    <row r="2159" spans="39:47" ht="18" customHeight="1">
      <c r="AM2159" s="299" t="s">
        <v>753</v>
      </c>
      <c r="AN2159" s="301"/>
      <c r="AO2159" s="302"/>
      <c r="AP2159" s="303"/>
      <c r="AQ2159" s="299" t="s">
        <v>754</v>
      </c>
      <c r="AR2159" s="300"/>
      <c r="AS2159" s="300"/>
      <c r="AT2159" s="300"/>
      <c r="AU2159" s="255"/>
    </row>
    <row r="2160" spans="39:47" ht="18" customHeight="1">
      <c r="AM2160" s="299"/>
      <c r="AN2160" s="301"/>
      <c r="AO2160" s="302"/>
      <c r="AP2160" s="298" t="s">
        <v>755</v>
      </c>
      <c r="AQ2160" s="299" t="s">
        <v>756</v>
      </c>
      <c r="AR2160" s="300"/>
      <c r="AS2160" s="300"/>
      <c r="AT2160" s="300"/>
      <c r="AU2160" s="255"/>
    </row>
    <row r="2161" spans="39:47" ht="18" customHeight="1">
      <c r="AM2161" s="299"/>
      <c r="AN2161" s="301"/>
      <c r="AO2161" s="302"/>
      <c r="AP2161" s="303" t="s">
        <v>757</v>
      </c>
      <c r="AQ2161" s="299" t="s">
        <v>758</v>
      </c>
      <c r="AR2161" s="300"/>
      <c r="AS2161" s="300"/>
      <c r="AT2161" s="300"/>
      <c r="AU2161" s="255"/>
    </row>
    <row r="2162" spans="39:47" ht="18" customHeight="1">
      <c r="AM2162" s="299"/>
      <c r="AN2162" s="301"/>
      <c r="AO2162" s="302"/>
      <c r="AP2162" s="303" t="s">
        <v>759</v>
      </c>
      <c r="AQ2162" s="299" t="s">
        <v>760</v>
      </c>
      <c r="AR2162" s="300"/>
      <c r="AS2162" s="300"/>
      <c r="AT2162" s="300"/>
      <c r="AU2162" s="255"/>
    </row>
    <row r="2163" spans="39:47" ht="18" customHeight="1">
      <c r="AM2163" s="299" t="s">
        <v>761</v>
      </c>
      <c r="AN2163" s="301"/>
      <c r="AO2163" s="302"/>
      <c r="AP2163" s="303"/>
      <c r="AQ2163" s="299" t="s">
        <v>762</v>
      </c>
      <c r="AR2163" s="300"/>
      <c r="AS2163" s="300"/>
      <c r="AT2163" s="300"/>
      <c r="AU2163" s="255"/>
    </row>
    <row r="2164" spans="39:47" ht="18" customHeight="1">
      <c r="AM2164" s="299" t="s">
        <v>753</v>
      </c>
      <c r="AN2164" s="301"/>
      <c r="AO2164" s="302"/>
      <c r="AP2164" s="303"/>
      <c r="AQ2164" s="299" t="s">
        <v>763</v>
      </c>
      <c r="AR2164" s="300"/>
      <c r="AS2164" s="300"/>
      <c r="AT2164" s="300"/>
      <c r="AU2164" s="255"/>
    </row>
    <row r="2165" spans="39:47" ht="18" customHeight="1">
      <c r="AM2165" s="299"/>
      <c r="AN2165" s="301"/>
      <c r="AO2165" s="302"/>
      <c r="AP2165" s="298" t="s">
        <v>755</v>
      </c>
      <c r="AQ2165" s="299" t="s">
        <v>756</v>
      </c>
      <c r="AR2165" s="300"/>
      <c r="AS2165" s="300"/>
      <c r="AT2165" s="300"/>
      <c r="AU2165" s="255"/>
    </row>
    <row r="2166" spans="39:47" ht="18" customHeight="1">
      <c r="AM2166" s="299"/>
      <c r="AN2166" s="301"/>
      <c r="AO2166" s="302"/>
      <c r="AP2166" s="303" t="s">
        <v>764</v>
      </c>
      <c r="AQ2166" s="299" t="s">
        <v>758</v>
      </c>
      <c r="AR2166" s="300"/>
      <c r="AS2166" s="300"/>
      <c r="AT2166" s="300"/>
      <c r="AU2166" s="255"/>
    </row>
    <row r="2167" spans="39:47" ht="18" customHeight="1">
      <c r="AM2167" s="299"/>
      <c r="AN2167" s="301"/>
      <c r="AO2167" s="304"/>
      <c r="AP2167" s="303" t="s">
        <v>765</v>
      </c>
      <c r="AQ2167" s="299" t="s">
        <v>766</v>
      </c>
      <c r="AR2167" s="300"/>
      <c r="AS2167" s="300"/>
      <c r="AT2167" s="300"/>
      <c r="AU2167" s="255"/>
    </row>
    <row r="2168" spans="39:47" ht="18" customHeight="1">
      <c r="AM2168" s="299"/>
      <c r="AN2168" s="301"/>
      <c r="AO2168" s="304"/>
      <c r="AP2168" s="297" t="s">
        <v>767</v>
      </c>
      <c r="AQ2168" s="299" t="s">
        <v>756</v>
      </c>
      <c r="AR2168" s="300"/>
      <c r="AS2168" s="300"/>
      <c r="AT2168" s="300"/>
      <c r="AU2168" s="255"/>
    </row>
    <row r="2169" spans="39:47" ht="18" customHeight="1">
      <c r="AM2169" s="299"/>
      <c r="AN2169" s="301"/>
      <c r="AO2169" s="304"/>
      <c r="AP2169" s="303" t="s">
        <v>759</v>
      </c>
      <c r="AQ2169" s="299" t="s">
        <v>760</v>
      </c>
      <c r="AR2169" s="300"/>
      <c r="AS2169" s="300"/>
      <c r="AT2169" s="300"/>
      <c r="AU2169" s="255"/>
    </row>
    <row r="2170" spans="39:47" ht="18" customHeight="1">
      <c r="AM2170" s="299" t="s">
        <v>768</v>
      </c>
      <c r="AN2170" s="301"/>
      <c r="AO2170" s="302"/>
      <c r="AP2170" s="303"/>
      <c r="AQ2170" s="299" t="s">
        <v>769</v>
      </c>
      <c r="AR2170" s="300"/>
      <c r="AS2170" s="300"/>
      <c r="AT2170" s="300"/>
      <c r="AU2170" s="255"/>
    </row>
    <row r="2171" spans="39:47" ht="18" customHeight="1">
      <c r="AM2171" s="299"/>
      <c r="AN2171" s="301"/>
      <c r="AO2171" s="302"/>
      <c r="AP2171" s="303" t="s">
        <v>770</v>
      </c>
      <c r="AQ2171" s="299" t="s">
        <v>760</v>
      </c>
      <c r="AR2171" s="300"/>
      <c r="AS2171" s="300"/>
      <c r="AT2171" s="300"/>
      <c r="AU2171" s="255"/>
    </row>
    <row r="2172" spans="39:47" ht="18" customHeight="1">
      <c r="AM2172" s="299"/>
      <c r="AN2172" s="301"/>
      <c r="AO2172" s="302"/>
      <c r="AP2172" s="303" t="s">
        <v>771</v>
      </c>
      <c r="AQ2172" s="299" t="s">
        <v>1626</v>
      </c>
      <c r="AR2172" s="300"/>
      <c r="AS2172" s="300"/>
      <c r="AT2172" s="300"/>
      <c r="AU2172" s="255"/>
    </row>
    <row r="2173" spans="39:47" ht="18" customHeight="1">
      <c r="AM2173" s="299"/>
      <c r="AN2173" s="301"/>
      <c r="AO2173" s="302"/>
      <c r="AP2173" s="303" t="s">
        <v>1627</v>
      </c>
      <c r="AQ2173" s="299" t="s">
        <v>1628</v>
      </c>
      <c r="AR2173" s="300"/>
      <c r="AS2173" s="300"/>
      <c r="AT2173" s="300"/>
      <c r="AU2173" s="255"/>
    </row>
    <row r="2174" spans="39:47" ht="6.75" customHeight="1">
      <c r="AM2174" s="18"/>
      <c r="AN2174" s="18"/>
      <c r="AO2174" s="18"/>
      <c r="AP2174" s="18"/>
      <c r="AQ2174" s="18"/>
      <c r="AR2174" s="18"/>
      <c r="AS2174" s="18"/>
      <c r="AT2174" s="18"/>
      <c r="AU2174" s="18"/>
    </row>
    <row r="2175" spans="39:47" ht="18" customHeight="1">
      <c r="AM2175" s="18"/>
      <c r="AN2175" s="18" t="s">
        <v>1441</v>
      </c>
      <c r="AO2175" s="18"/>
      <c r="AP2175" s="18"/>
      <c r="AQ2175" s="18"/>
      <c r="AR2175" s="18"/>
      <c r="AS2175" s="18"/>
      <c r="AT2175" s="18"/>
      <c r="AU2175" s="18"/>
    </row>
    <row r="2176" spans="39:47" ht="18" customHeight="1">
      <c r="AM2176" s="18" t="s">
        <v>1442</v>
      </c>
      <c r="AN2176" s="18"/>
      <c r="AO2176" s="18"/>
      <c r="AP2176" s="18"/>
      <c r="AQ2176" s="18"/>
      <c r="AR2176" s="18"/>
      <c r="AS2176" s="18"/>
      <c r="AT2176" s="18"/>
      <c r="AU2176" s="18"/>
    </row>
    <row r="2177" spans="39:47" ht="18" customHeight="1">
      <c r="AM2177" s="18" t="s">
        <v>1443</v>
      </c>
      <c r="AN2177" s="18"/>
      <c r="AO2177" s="18"/>
      <c r="AP2177" s="18"/>
      <c r="AQ2177" s="18"/>
      <c r="AR2177" s="18"/>
      <c r="AS2177" s="18"/>
      <c r="AT2177" s="18"/>
      <c r="AU2177" s="18"/>
    </row>
    <row r="2178" spans="39:47" ht="18" customHeight="1">
      <c r="AM2178" s="18" t="s">
        <v>93</v>
      </c>
      <c r="AN2178" s="18"/>
      <c r="AO2178" s="18"/>
      <c r="AP2178" s="18"/>
      <c r="AQ2178" s="18"/>
      <c r="AR2178" s="18"/>
      <c r="AS2178" s="18"/>
      <c r="AT2178" s="18"/>
      <c r="AU2178" s="18"/>
    </row>
    <row r="2179" spans="39:47" ht="18" customHeight="1">
      <c r="AM2179" s="153"/>
      <c r="AN2179" s="153" t="s">
        <v>692</v>
      </c>
      <c r="AO2179" s="153"/>
      <c r="AP2179" s="153"/>
      <c r="AQ2179" s="153"/>
      <c r="AR2179" s="153"/>
      <c r="AS2179" s="153"/>
      <c r="AT2179" s="153"/>
      <c r="AU2179" s="18"/>
    </row>
    <row r="2180" spans="39:47" ht="18" customHeight="1">
      <c r="AM2180" s="153"/>
      <c r="AN2180" s="18"/>
      <c r="AO2180" s="295" t="s">
        <v>1510</v>
      </c>
      <c r="AP2180" s="153"/>
      <c r="AQ2180" s="153"/>
      <c r="AR2180" s="153"/>
      <c r="AS2180" s="153"/>
      <c r="AT2180" s="153"/>
      <c r="AU2180" s="18"/>
    </row>
    <row r="2181" spans="39:47" ht="18" customHeight="1">
      <c r="AM2181" s="153"/>
      <c r="AN2181" s="18"/>
      <c r="AO2181" s="295" t="s">
        <v>1511</v>
      </c>
      <c r="AP2181" s="153"/>
      <c r="AQ2181" s="153"/>
      <c r="AR2181" s="153"/>
      <c r="AS2181" s="153"/>
      <c r="AT2181" s="153"/>
      <c r="AU2181" s="18"/>
    </row>
    <row r="2182" spans="39:47" ht="18" customHeight="1">
      <c r="AM2182" s="153"/>
      <c r="AN2182" s="18"/>
      <c r="AO2182" s="295" t="s">
        <v>693</v>
      </c>
      <c r="AP2182" s="153"/>
      <c r="AQ2182" s="153"/>
      <c r="AR2182" s="153"/>
      <c r="AS2182" s="153"/>
      <c r="AT2182" s="153"/>
      <c r="AU2182" s="18"/>
    </row>
    <row r="2183" spans="39:47" ht="18" customHeight="1">
      <c r="AM2183" s="153"/>
      <c r="AN2183" s="18"/>
      <c r="AO2183" s="295" t="s">
        <v>694</v>
      </c>
      <c r="AP2183" s="153"/>
      <c r="AQ2183" s="153"/>
      <c r="AR2183" s="153"/>
      <c r="AS2183" s="153"/>
      <c r="AT2183" s="153"/>
      <c r="AU2183" s="18"/>
    </row>
    <row r="2184" spans="39:47" ht="18" customHeight="1">
      <c r="AM2184" s="153"/>
      <c r="AN2184" s="18" t="s">
        <v>695</v>
      </c>
      <c r="AO2184" s="295"/>
      <c r="AP2184" s="153"/>
      <c r="AQ2184" s="153"/>
      <c r="AR2184" s="153"/>
      <c r="AS2184" s="153"/>
      <c r="AT2184" s="153"/>
      <c r="AU2184" s="18"/>
    </row>
    <row r="2185" spans="39:47" ht="18" customHeight="1">
      <c r="AM2185" s="153" t="s">
        <v>696</v>
      </c>
      <c r="AN2185" s="18"/>
      <c r="AO2185" s="295"/>
      <c r="AP2185" s="153"/>
      <c r="AQ2185" s="153"/>
      <c r="AR2185" s="153"/>
      <c r="AS2185" s="153"/>
      <c r="AT2185" s="153"/>
      <c r="AU2185" s="18"/>
    </row>
    <row r="2186" spans="39:47" ht="18" customHeight="1">
      <c r="AM2186" s="153"/>
      <c r="AN2186" s="18" t="s">
        <v>94</v>
      </c>
      <c r="AO2186" s="295"/>
      <c r="AP2186" s="153"/>
      <c r="AQ2186" s="153"/>
      <c r="AR2186" s="153"/>
      <c r="AS2186" s="153"/>
      <c r="AT2186" s="153"/>
      <c r="AU2186" s="18"/>
    </row>
    <row r="2187" spans="39:47" ht="9.75" customHeight="1">
      <c r="AM2187" s="153"/>
      <c r="AN2187" s="18"/>
      <c r="AO2187" s="295"/>
      <c r="AP2187" s="153"/>
      <c r="AQ2187" s="153"/>
      <c r="AR2187" s="153"/>
      <c r="AS2187" s="153"/>
      <c r="AT2187" s="153"/>
      <c r="AU2187" s="18"/>
    </row>
    <row r="2188" spans="39:47" ht="18" customHeight="1">
      <c r="AM2188" s="299" t="s">
        <v>1514</v>
      </c>
      <c r="AN2188" s="300"/>
      <c r="AO2188" s="301"/>
      <c r="AP2188" s="297" t="s">
        <v>750</v>
      </c>
      <c r="AQ2188" s="298" t="s">
        <v>751</v>
      </c>
      <c r="AR2188" s="299" t="s">
        <v>752</v>
      </c>
      <c r="AS2188" s="300"/>
      <c r="AT2188" s="300"/>
      <c r="AU2188" s="301"/>
    </row>
    <row r="2189" spans="39:47" ht="28.5">
      <c r="AM2189" s="299" t="s">
        <v>697</v>
      </c>
      <c r="AN2189" s="300"/>
      <c r="AO2189" s="301"/>
      <c r="AP2189" s="302">
        <v>0</v>
      </c>
      <c r="AQ2189" s="303"/>
      <c r="AR2189" s="305"/>
      <c r="AS2189" s="306"/>
      <c r="AT2189" s="306"/>
      <c r="AU2189" s="268"/>
    </row>
    <row r="2190" spans="39:47" ht="18" customHeight="1">
      <c r="AM2190" s="299"/>
      <c r="AN2190" s="300"/>
      <c r="AO2190" s="301"/>
      <c r="AP2190" s="302"/>
      <c r="AQ2190" s="303" t="s">
        <v>698</v>
      </c>
      <c r="AR2190" s="305" t="s">
        <v>699</v>
      </c>
      <c r="AS2190" s="306"/>
      <c r="AT2190" s="306"/>
      <c r="AU2190" s="268"/>
    </row>
    <row r="2191" spans="39:47" ht="18" customHeight="1">
      <c r="AM2191" s="299"/>
      <c r="AN2191" s="300"/>
      <c r="AO2191" s="301"/>
      <c r="AP2191" s="302"/>
      <c r="AQ2191" s="303" t="s">
        <v>700</v>
      </c>
      <c r="AR2191" s="305"/>
      <c r="AS2191" s="306"/>
      <c r="AT2191" s="306"/>
      <c r="AU2191" s="268"/>
    </row>
    <row r="2192" spans="39:47" ht="28.5">
      <c r="AM2192" s="299" t="s">
        <v>701</v>
      </c>
      <c r="AN2192" s="300"/>
      <c r="AO2192" s="301"/>
      <c r="AP2192" s="302">
        <v>0</v>
      </c>
      <c r="AQ2192" s="303"/>
      <c r="AR2192" s="305"/>
      <c r="AS2192" s="306"/>
      <c r="AT2192" s="306"/>
      <c r="AU2192" s="268"/>
    </row>
    <row r="2193" spans="39:47" ht="18" customHeight="1">
      <c r="AM2193" s="299"/>
      <c r="AN2193" s="300"/>
      <c r="AO2193" s="301"/>
      <c r="AP2193" s="302"/>
      <c r="AQ2193" s="303" t="s">
        <v>698</v>
      </c>
      <c r="AR2193" s="305" t="s">
        <v>699</v>
      </c>
      <c r="AS2193" s="306"/>
      <c r="AT2193" s="306"/>
      <c r="AU2193" s="268"/>
    </row>
    <row r="2194" spans="39:47" ht="18" customHeight="1">
      <c r="AM2194" s="299"/>
      <c r="AN2194" s="300"/>
      <c r="AO2194" s="301"/>
      <c r="AP2194" s="302"/>
      <c r="AQ2194" s="303" t="s">
        <v>700</v>
      </c>
      <c r="AR2194" s="305"/>
      <c r="AS2194" s="306"/>
      <c r="AT2194" s="306"/>
      <c r="AU2194" s="268"/>
    </row>
    <row r="2195" spans="39:47" ht="18" customHeight="1">
      <c r="AM2195" s="299" t="s">
        <v>702</v>
      </c>
      <c r="AN2195" s="300"/>
      <c r="AO2195" s="301"/>
      <c r="AP2195" s="302"/>
      <c r="AQ2195" s="303"/>
      <c r="AR2195" s="305"/>
      <c r="AS2195" s="306"/>
      <c r="AT2195" s="306"/>
      <c r="AU2195" s="268"/>
    </row>
    <row r="2196" spans="39:47" ht="18" customHeight="1">
      <c r="AM2196" s="153"/>
      <c r="AN2196" s="18"/>
      <c r="AO2196" s="18"/>
      <c r="AP2196" s="295"/>
      <c r="AQ2196" s="153"/>
      <c r="AR2196" s="153"/>
      <c r="AS2196" s="153"/>
      <c r="AT2196" s="153"/>
      <c r="AU2196" s="153"/>
    </row>
    <row r="2197" spans="39:47" ht="18" customHeight="1">
      <c r="AM2197" s="213"/>
      <c r="AN2197" s="122"/>
      <c r="AO2197" s="122"/>
      <c r="AP2197" s="122"/>
      <c r="AQ2197" s="307" t="s">
        <v>703</v>
      </c>
      <c r="AR2197" s="308" t="s">
        <v>704</v>
      </c>
      <c r="AS2197" s="122"/>
      <c r="AT2197" s="122"/>
      <c r="AU2197" s="122"/>
    </row>
    <row r="2198" spans="39:47" ht="18" customHeight="1">
      <c r="AM2198" s="213"/>
      <c r="AN2198" s="122"/>
      <c r="AO2198" s="122"/>
      <c r="AP2198" s="122"/>
      <c r="AQ2198" s="308" t="s">
        <v>25</v>
      </c>
      <c r="AS2198" s="122"/>
      <c r="AT2198" s="122"/>
      <c r="AU2198" s="122"/>
    </row>
    <row r="2200" spans="39:47" ht="18" customHeight="1">
      <c r="AM2200" s="600" t="str">
        <f>+' -'!$E$21</f>
        <v>Програмата за финансов анализ е лицензирана на:</v>
      </c>
      <c r="AN2200" s="581"/>
      <c r="AO2200" s="581"/>
      <c r="AP2200" s="581"/>
      <c r="AQ2200" s="581"/>
      <c r="AR2200" s="581"/>
      <c r="AS2200" s="581"/>
      <c r="AT2200" s="581"/>
      <c r="AU2200" s="581"/>
    </row>
    <row r="2201" spans="39:41" ht="18" customHeight="1">
      <c r="AM2201" s="601"/>
      <c r="AN2201" s="10"/>
      <c r="AO2201" s="10"/>
    </row>
    <row r="2202" spans="39:47" ht="18" customHeight="1">
      <c r="AM2202" s="600" t="str">
        <f>+' -'!$E$22</f>
        <v>"В И Н З А В О Д"  А Д - гр. АСЕНОВГРАД</v>
      </c>
      <c r="AN2202" s="581"/>
      <c r="AO2202" s="581"/>
      <c r="AP2202" s="581"/>
      <c r="AQ2202" s="581"/>
      <c r="AR2202" s="581"/>
      <c r="AS2202" s="581"/>
      <c r="AT2202" s="581"/>
      <c r="AU2202" s="581"/>
    </row>
    <row r="2204" spans="39:47" ht="18.75" customHeight="1">
      <c r="AM2204" s="22" t="s">
        <v>1478</v>
      </c>
      <c r="AN2204" s="22"/>
      <c r="AO2204" s="22"/>
      <c r="AP2204" s="22"/>
      <c r="AQ2204" s="22"/>
      <c r="AR2204" s="22"/>
      <c r="AS2204" s="22"/>
      <c r="AT2204" s="22"/>
      <c r="AU2204" s="22"/>
    </row>
    <row r="2205" spans="39:47" ht="18.75" customHeight="1">
      <c r="AM2205" s="74">
        <v>1</v>
      </c>
      <c r="AN2205" s="18" t="s">
        <v>1577</v>
      </c>
      <c r="AO2205" s="22"/>
      <c r="AP2205" s="22"/>
      <c r="AQ2205" s="22"/>
      <c r="AR2205" s="22"/>
      <c r="AS2205" s="22"/>
      <c r="AT2205" s="22"/>
      <c r="AU2205" s="22"/>
    </row>
    <row r="2206" spans="39:47" ht="18.75" customHeight="1">
      <c r="AM2206" s="74"/>
      <c r="AN2206" s="18" t="s">
        <v>1578</v>
      </c>
      <c r="AO2206" s="22"/>
      <c r="AP2206" s="22"/>
      <c r="AQ2206" s="22"/>
      <c r="AR2206" s="22"/>
      <c r="AS2206" s="22"/>
      <c r="AT2206" s="22"/>
      <c r="AU2206" s="22"/>
    </row>
    <row r="2207" spans="39:47" ht="18.75" customHeight="1">
      <c r="AM2207" s="74">
        <v>2</v>
      </c>
      <c r="AN2207" s="18" t="s">
        <v>1579</v>
      </c>
      <c r="AO2207" s="22"/>
      <c r="AP2207" s="22"/>
      <c r="AQ2207" s="22"/>
      <c r="AR2207" s="22"/>
      <c r="AS2207" s="22"/>
      <c r="AT2207" s="22"/>
      <c r="AU2207" s="22"/>
    </row>
    <row r="2208" spans="39:47" ht="18.75" customHeight="1">
      <c r="AM2208" s="74"/>
      <c r="AN2208" s="18" t="s">
        <v>1580</v>
      </c>
      <c r="AO2208" s="22"/>
      <c r="AP2208" s="22"/>
      <c r="AQ2208" s="22"/>
      <c r="AR2208" s="22"/>
      <c r="AS2208" s="22"/>
      <c r="AT2208" s="22"/>
      <c r="AU2208" s="22"/>
    </row>
    <row r="2209" spans="39:47" ht="18.75" customHeight="1">
      <c r="AM2209" s="74">
        <v>3</v>
      </c>
      <c r="AN2209" s="18" t="s">
        <v>1581</v>
      </c>
      <c r="AO2209" s="18"/>
      <c r="AP2209" s="18"/>
      <c r="AQ2209" s="18"/>
      <c r="AR2209" s="18"/>
      <c r="AS2209" s="18"/>
      <c r="AT2209" s="18"/>
      <c r="AU2209" s="22"/>
    </row>
    <row r="2210" spans="39:47" ht="18.75" customHeight="1">
      <c r="AM2210" s="74"/>
      <c r="AN2210" s="18" t="s">
        <v>1582</v>
      </c>
      <c r="AO2210" s="18"/>
      <c r="AP2210" s="22"/>
      <c r="AQ2210" s="22"/>
      <c r="AR2210" s="22"/>
      <c r="AS2210" s="22"/>
      <c r="AT2210" s="22"/>
      <c r="AU2210" s="22"/>
    </row>
    <row r="2211" spans="39:47" ht="18.75" customHeight="1">
      <c r="AM2211" s="74">
        <v>4</v>
      </c>
      <c r="AN2211" s="18" t="s">
        <v>1340</v>
      </c>
      <c r="AO2211" s="18"/>
      <c r="AU2211" s="22"/>
    </row>
    <row r="2212" spans="39:47" ht="18.75" customHeight="1">
      <c r="AM2212" s="74"/>
      <c r="AN2212" s="18" t="s">
        <v>1341</v>
      </c>
      <c r="AO2212" s="18"/>
      <c r="AU2212" s="22"/>
    </row>
    <row r="2213" spans="39:47" ht="18.75" customHeight="1">
      <c r="AM2213" s="74">
        <v>5</v>
      </c>
      <c r="AN2213" s="18" t="s">
        <v>1555</v>
      </c>
      <c r="AO2213" s="18"/>
      <c r="AP2213" s="18"/>
      <c r="AQ2213" s="18"/>
      <c r="AR2213" s="18"/>
      <c r="AS2213" s="18"/>
      <c r="AT2213" s="18"/>
      <c r="AU2213" s="22"/>
    </row>
    <row r="2214" spans="39:47" ht="18.75" customHeight="1">
      <c r="AM2214" s="74"/>
      <c r="AN2214" s="18" t="s">
        <v>1556</v>
      </c>
      <c r="AO2214" s="18"/>
      <c r="AP2214" s="18"/>
      <c r="AQ2214" s="18"/>
      <c r="AR2214" s="18"/>
      <c r="AS2214" s="18"/>
      <c r="AT2214" s="18"/>
      <c r="AU2214" s="22"/>
    </row>
    <row r="2215" spans="39:47" ht="18.75" customHeight="1">
      <c r="AM2215" s="74">
        <v>6</v>
      </c>
      <c r="AN2215" s="18" t="s">
        <v>1429</v>
      </c>
      <c r="AO2215" s="22"/>
      <c r="AP2215" s="22"/>
      <c r="AQ2215" s="22"/>
      <c r="AR2215" s="22"/>
      <c r="AS2215" s="22"/>
      <c r="AT2215" s="22"/>
      <c r="AU2215" s="22"/>
    </row>
    <row r="2216" spans="39:47" ht="18.75" customHeight="1">
      <c r="AM2216" s="74"/>
      <c r="AN2216" s="18" t="s">
        <v>1430</v>
      </c>
      <c r="AO2216" s="22"/>
      <c r="AP2216" s="22"/>
      <c r="AQ2216" s="22"/>
      <c r="AR2216" s="22"/>
      <c r="AS2216" s="22"/>
      <c r="AT2216" s="22"/>
      <c r="AU2216" s="22"/>
    </row>
    <row r="2217" spans="39:47" ht="18.75" customHeight="1">
      <c r="AM2217" s="74">
        <v>7</v>
      </c>
      <c r="AN2217" s="18" t="s">
        <v>1431</v>
      </c>
      <c r="AO2217" s="18"/>
      <c r="AP2217" s="18"/>
      <c r="AQ2217" s="18"/>
      <c r="AR2217" s="18"/>
      <c r="AS2217" s="18"/>
      <c r="AT2217" s="18"/>
      <c r="AU2217" s="18"/>
    </row>
    <row r="2218" spans="39:47" ht="18.75" customHeight="1">
      <c r="AM2218" s="74">
        <v>8</v>
      </c>
      <c r="AN2218" s="18" t="s">
        <v>1731</v>
      </c>
      <c r="AO2218" s="18"/>
      <c r="AP2218" s="18"/>
      <c r="AQ2218" s="18"/>
      <c r="AR2218" s="18"/>
      <c r="AS2218" s="18"/>
      <c r="AT2218" s="18"/>
      <c r="AU2218" s="18"/>
    </row>
    <row r="2219" spans="39:47" ht="18.75" customHeight="1">
      <c r="AM2219" s="74">
        <f>AM2218+1</f>
        <v>9</v>
      </c>
      <c r="AN2219" s="18" t="s">
        <v>1432</v>
      </c>
      <c r="AO2219" s="18"/>
      <c r="AP2219" s="18"/>
      <c r="AQ2219" s="18"/>
      <c r="AR2219" s="18"/>
      <c r="AS2219" s="18"/>
      <c r="AT2219" s="18"/>
      <c r="AU2219" s="18"/>
    </row>
    <row r="2220" spans="39:47" ht="18.75" customHeight="1">
      <c r="AM2220" s="74"/>
      <c r="AN2220" s="18" t="s">
        <v>1433</v>
      </c>
      <c r="AO2220" s="18"/>
      <c r="AP2220" s="18"/>
      <c r="AQ2220" s="18"/>
      <c r="AR2220" s="18"/>
      <c r="AS2220" s="18"/>
      <c r="AT2220" s="18"/>
      <c r="AU2220" s="18"/>
    </row>
    <row r="2221" spans="39:47" ht="18.75" customHeight="1">
      <c r="AM2221" s="74">
        <f>AM2219+1</f>
        <v>10</v>
      </c>
      <c r="AN2221" s="18" t="s">
        <v>1434</v>
      </c>
      <c r="AO2221" s="18"/>
      <c r="AP2221" s="18"/>
      <c r="AQ2221" s="18"/>
      <c r="AR2221" s="18"/>
      <c r="AS2221" s="18"/>
      <c r="AT2221" s="18"/>
      <c r="AU2221" s="18"/>
    </row>
    <row r="2222" spans="39:47" ht="18.75" customHeight="1">
      <c r="AM2222" s="74"/>
      <c r="AN2222" s="18" t="s">
        <v>1435</v>
      </c>
      <c r="AO2222" s="18"/>
      <c r="AP2222" s="18"/>
      <c r="AQ2222" s="18"/>
      <c r="AR2222" s="18"/>
      <c r="AS2222" s="18"/>
      <c r="AT2222" s="18"/>
      <c r="AU2222" s="18"/>
    </row>
    <row r="2223" spans="39:47" ht="18.75" customHeight="1">
      <c r="AM2223" s="74">
        <f>AM2221+1</f>
        <v>11</v>
      </c>
      <c r="AN2223" s="18" t="s">
        <v>1732</v>
      </c>
      <c r="AO2223" s="18"/>
      <c r="AP2223" s="18"/>
      <c r="AQ2223" s="18"/>
      <c r="AR2223" s="18"/>
      <c r="AS2223" s="18"/>
      <c r="AT2223" s="18"/>
      <c r="AU2223" s="18"/>
    </row>
    <row r="2224" spans="39:47" ht="18.75" customHeight="1">
      <c r="AM2224" s="74"/>
      <c r="AN2224" s="18" t="s">
        <v>2046</v>
      </c>
      <c r="AO2224" s="18"/>
      <c r="AP2224" s="18"/>
      <c r="AQ2224" s="18"/>
      <c r="AR2224" s="18"/>
      <c r="AS2224" s="18"/>
      <c r="AT2224" s="18"/>
      <c r="AU2224" s="18"/>
    </row>
    <row r="2225" spans="39:47" ht="18.75" customHeight="1">
      <c r="AM2225" s="74">
        <f>AM2223+1</f>
        <v>12</v>
      </c>
      <c r="AN2225" s="18" t="s">
        <v>2047</v>
      </c>
      <c r="AO2225" s="18"/>
      <c r="AP2225" s="18"/>
      <c r="AQ2225" s="18"/>
      <c r="AR2225" s="18"/>
      <c r="AS2225" s="18"/>
      <c r="AT2225" s="18"/>
      <c r="AU2225" s="153"/>
    </row>
    <row r="2226" spans="39:47" ht="18.75" customHeight="1">
      <c r="AM2226" s="74"/>
      <c r="AN2226" s="18" t="s">
        <v>2048</v>
      </c>
      <c r="AO2226" s="18"/>
      <c r="AP2226" s="18"/>
      <c r="AQ2226" s="18"/>
      <c r="AR2226" s="18"/>
      <c r="AS2226" s="18"/>
      <c r="AT2226" s="18"/>
      <c r="AU2226" s="153"/>
    </row>
    <row r="2227" spans="39:47" ht="18.75" customHeight="1">
      <c r="AM2227" s="74">
        <f>AM2225+1</f>
        <v>13</v>
      </c>
      <c r="AN2227" s="18" t="s">
        <v>2049</v>
      </c>
      <c r="AO2227" s="22"/>
      <c r="AP2227" s="18"/>
      <c r="AQ2227" s="18"/>
      <c r="AR2227" s="18"/>
      <c r="AS2227" s="18"/>
      <c r="AT2227" s="22"/>
      <c r="AU2227" s="153"/>
    </row>
    <row r="2228" spans="39:47" ht="18.75" customHeight="1">
      <c r="AM2228" s="74"/>
      <c r="AN2228" s="18" t="s">
        <v>2050</v>
      </c>
      <c r="AO2228" s="22"/>
      <c r="AP2228" s="18"/>
      <c r="AQ2228" s="18"/>
      <c r="AR2228" s="18"/>
      <c r="AS2228" s="18"/>
      <c r="AT2228" s="22"/>
      <c r="AU2228" s="153"/>
    </row>
    <row r="2229" spans="39:47" ht="18.75" customHeight="1">
      <c r="AM2229" s="74">
        <f>AM2227+1</f>
        <v>14</v>
      </c>
      <c r="AN2229" s="18" t="s">
        <v>326</v>
      </c>
      <c r="AO2229" s="22"/>
      <c r="AP2229" s="18"/>
      <c r="AQ2229" s="18"/>
      <c r="AR2229" s="18"/>
      <c r="AS2229" s="18"/>
      <c r="AT2229" s="22"/>
      <c r="AU2229" s="153"/>
    </row>
    <row r="2230" spans="39:58" ht="18.75" customHeight="1">
      <c r="AM2230" s="74"/>
      <c r="AN2230" s="18" t="s">
        <v>327</v>
      </c>
      <c r="AO2230" s="22"/>
      <c r="AP2230" s="18"/>
      <c r="AQ2230" s="18"/>
      <c r="AR2230" s="18"/>
      <c r="AS2230" s="18"/>
      <c r="AT2230" s="22"/>
      <c r="AU2230" s="153"/>
      <c r="BF2230" s="581"/>
    </row>
    <row r="2231" spans="39:47" ht="18.75" customHeight="1">
      <c r="AM2231" s="74">
        <f>AM2229+1</f>
        <v>15</v>
      </c>
      <c r="AN2231" s="18" t="s">
        <v>787</v>
      </c>
      <c r="AO2231" s="22"/>
      <c r="AP2231" s="18"/>
      <c r="AQ2231" s="18"/>
      <c r="AR2231" s="18"/>
      <c r="AS2231" s="18"/>
      <c r="AT2231" s="22"/>
      <c r="AU2231" s="153"/>
    </row>
    <row r="2232" spans="39:47" ht="18.75" customHeight="1">
      <c r="AM2232" s="74"/>
      <c r="AN2232" s="18" t="s">
        <v>786</v>
      </c>
      <c r="AO2232" s="22"/>
      <c r="AP2232" s="18"/>
      <c r="AQ2232" s="18"/>
      <c r="AR2232" s="18"/>
      <c r="AS2232" s="18"/>
      <c r="AT2232" s="22"/>
      <c r="AU2232" s="153"/>
    </row>
    <row r="2233" spans="39:47" ht="18.75" customHeight="1">
      <c r="AM2233" s="74">
        <f>AM2231+1</f>
        <v>16</v>
      </c>
      <c r="AN2233" s="18" t="s">
        <v>2051</v>
      </c>
      <c r="AO2233" s="22"/>
      <c r="AP2233" s="18"/>
      <c r="AQ2233" s="18"/>
      <c r="AR2233" s="18"/>
      <c r="AS2233" s="18"/>
      <c r="AT2233" s="22"/>
      <c r="AU2233" s="153"/>
    </row>
    <row r="2234" spans="39:47" ht="18.75" customHeight="1">
      <c r="AM2234" s="74">
        <f>AM2233+1</f>
        <v>17</v>
      </c>
      <c r="AN2234" s="18" t="s">
        <v>311</v>
      </c>
      <c r="AO2234" s="22"/>
      <c r="AP2234" s="18"/>
      <c r="AQ2234" s="18"/>
      <c r="AR2234" s="18"/>
      <c r="AS2234" s="18"/>
      <c r="AT2234" s="22"/>
      <c r="AU2234" s="153"/>
    </row>
    <row r="2235" spans="39:47" ht="18.75" customHeight="1">
      <c r="AM2235" s="74">
        <f>AM2234+1</f>
        <v>18</v>
      </c>
      <c r="AN2235" s="18" t="s">
        <v>313</v>
      </c>
      <c r="AO2235" s="22"/>
      <c r="AP2235" s="18"/>
      <c r="AQ2235" s="18"/>
      <c r="AR2235" s="18"/>
      <c r="AS2235" s="18"/>
      <c r="AT2235" s="22"/>
      <c r="AU2235" s="153"/>
    </row>
    <row r="2236" spans="39:47" ht="18.75" customHeight="1">
      <c r="AM2236" s="74">
        <f>AM2235+1</f>
        <v>19</v>
      </c>
      <c r="AN2236" s="18" t="s">
        <v>312</v>
      </c>
      <c r="AO2236" s="18"/>
      <c r="AP2236" s="18"/>
      <c r="AQ2236" s="18"/>
      <c r="AR2236" s="18"/>
      <c r="AS2236" s="18"/>
      <c r="AT2236" s="18"/>
      <c r="AU2236" s="153"/>
    </row>
    <row r="2237" spans="39:47" ht="18.75" customHeight="1">
      <c r="AM2237" s="74">
        <f>AM2236+1</f>
        <v>20</v>
      </c>
      <c r="AN2237" s="18" t="s">
        <v>878</v>
      </c>
      <c r="AO2237" s="22"/>
      <c r="AP2237" s="18"/>
      <c r="AQ2237" s="18"/>
      <c r="AR2237" s="18"/>
      <c r="AS2237" s="18"/>
      <c r="AT2237" s="22"/>
      <c r="AU2237" s="153"/>
    </row>
    <row r="2238" ht="18.75" customHeight="1">
      <c r="AN2238" s="18" t="s">
        <v>879</v>
      </c>
    </row>
    <row r="2240" spans="39:47" ht="18" customHeight="1">
      <c r="AM2240" s="600" t="str">
        <f>+' -'!$E$21</f>
        <v>Програмата за финансов анализ е лицензирана на:</v>
      </c>
      <c r="AN2240" s="581"/>
      <c r="AO2240" s="581"/>
      <c r="AP2240" s="581"/>
      <c r="AQ2240" s="581"/>
      <c r="AR2240" s="581"/>
      <c r="AS2240" s="581"/>
      <c r="AT2240" s="581"/>
      <c r="AU2240" s="581"/>
    </row>
    <row r="2241" spans="39:41" ht="18" customHeight="1">
      <c r="AM2241" s="601"/>
      <c r="AN2241" s="10"/>
      <c r="AO2241" s="10"/>
    </row>
    <row r="2242" spans="39:47" ht="18" customHeight="1">
      <c r="AM2242" s="600" t="str">
        <f>+' -'!$E$22</f>
        <v>"В И Н З А В О Д"  А Д - гр. АСЕНОВГРАД</v>
      </c>
      <c r="AN2242" s="581"/>
      <c r="AO2242" s="581"/>
      <c r="AP2242" s="581"/>
      <c r="AQ2242" s="581"/>
      <c r="AR2242" s="581"/>
      <c r="AS2242" s="581"/>
      <c r="AT2242" s="581"/>
      <c r="AU2242" s="581"/>
    </row>
    <row r="2244" spans="49:59" ht="18" customHeight="1">
      <c r="AW2244" s="18"/>
      <c r="AX2244" s="18"/>
      <c r="AY2244" s="18"/>
      <c r="AZ2244" s="18"/>
      <c r="BA2244" s="18"/>
      <c r="BB2244" s="18"/>
      <c r="BC2244" s="18"/>
      <c r="BD2244" s="18"/>
      <c r="BE2244" s="18"/>
      <c r="BF2244" s="18"/>
      <c r="BG2244" s="18"/>
    </row>
    <row r="2245" spans="49:59" ht="18" customHeight="1">
      <c r="AW2245" s="18"/>
      <c r="AX2245" s="18"/>
      <c r="AY2245" s="18"/>
      <c r="AZ2245" s="18"/>
      <c r="BA2245" s="18"/>
      <c r="BB2245" s="18"/>
      <c r="BC2245" s="18"/>
      <c r="BD2245" s="18"/>
      <c r="BE2245" s="18"/>
      <c r="BF2245" s="18"/>
      <c r="BG2245" s="18"/>
    </row>
    <row r="2246" spans="49:59" ht="18" customHeight="1">
      <c r="AW2246" s="18"/>
      <c r="AX2246" s="18"/>
      <c r="AY2246" s="18"/>
      <c r="AZ2246" s="18"/>
      <c r="BA2246" s="18"/>
      <c r="BB2246" s="18"/>
      <c r="BC2246" s="18"/>
      <c r="BD2246" s="18"/>
      <c r="BE2246" s="18"/>
      <c r="BF2246" s="18"/>
      <c r="BG2246" s="18"/>
    </row>
    <row r="2247" spans="49:59" ht="18" customHeight="1">
      <c r="AW2247" s="18"/>
      <c r="AX2247" s="18"/>
      <c r="AY2247" s="18"/>
      <c r="AZ2247" s="18"/>
      <c r="BA2247" s="18"/>
      <c r="BB2247" s="18"/>
      <c r="BC2247" s="18"/>
      <c r="BD2247" s="18"/>
      <c r="BE2247" s="18"/>
      <c r="BF2247" s="18"/>
      <c r="BG2247" s="18"/>
    </row>
    <row r="2248" spans="49:59" ht="18" customHeight="1">
      <c r="AW2248" s="18"/>
      <c r="AX2248" s="18"/>
      <c r="AY2248" s="18"/>
      <c r="AZ2248" s="18"/>
      <c r="BA2248" s="18"/>
      <c r="BB2248" s="18"/>
      <c r="BC2248" s="18"/>
      <c r="BD2248" s="18"/>
      <c r="BE2248" s="18"/>
      <c r="BF2248" s="18"/>
      <c r="BG2248" s="18"/>
    </row>
    <row r="2249" spans="49:59" ht="18" customHeight="1">
      <c r="AW2249" s="18"/>
      <c r="AX2249" s="18"/>
      <c r="AY2249" s="18"/>
      <c r="AZ2249" s="18"/>
      <c r="BA2249" s="18"/>
      <c r="BB2249" s="18"/>
      <c r="BC2249" s="18"/>
      <c r="BD2249" s="18"/>
      <c r="BE2249" s="18"/>
      <c r="BF2249" s="18"/>
      <c r="BG2249" s="18"/>
    </row>
    <row r="2250" spans="49:59" ht="18" customHeight="1">
      <c r="AW2250" s="18"/>
      <c r="AX2250" s="18"/>
      <c r="AY2250" s="18"/>
      <c r="AZ2250" s="18"/>
      <c r="BA2250" s="18"/>
      <c r="BB2250" s="18"/>
      <c r="BC2250" s="18"/>
      <c r="BD2250" s="18"/>
      <c r="BE2250" s="18"/>
      <c r="BF2250" s="18"/>
      <c r="BG2250" s="18"/>
    </row>
    <row r="2251" spans="49:59" ht="18" customHeight="1">
      <c r="AW2251" s="18"/>
      <c r="AX2251" s="18"/>
      <c r="AY2251" s="18"/>
      <c r="AZ2251" s="18"/>
      <c r="BA2251" s="18"/>
      <c r="BB2251" s="18"/>
      <c r="BC2251" s="18"/>
      <c r="BD2251" s="18"/>
      <c r="BE2251" s="18"/>
      <c r="BF2251" s="18"/>
      <c r="BG2251" s="18"/>
    </row>
    <row r="2252" spans="49:59" ht="18" customHeight="1">
      <c r="AW2252" s="18"/>
      <c r="AX2252" s="18"/>
      <c r="AY2252" s="18"/>
      <c r="AZ2252" s="18"/>
      <c r="BA2252" s="18"/>
      <c r="BB2252" s="18"/>
      <c r="BC2252" s="18"/>
      <c r="BD2252" s="18"/>
      <c r="BE2252" s="18"/>
      <c r="BF2252" s="18"/>
      <c r="BG2252" s="18"/>
    </row>
    <row r="2253" spans="49:59" ht="18" customHeight="1">
      <c r="AW2253" s="18"/>
      <c r="AX2253" s="18"/>
      <c r="AY2253" s="18"/>
      <c r="AZ2253" s="18"/>
      <c r="BA2253" s="18"/>
      <c r="BB2253" s="18"/>
      <c r="BC2253" s="18"/>
      <c r="BD2253" s="18"/>
      <c r="BE2253" s="18"/>
      <c r="BF2253" s="18"/>
      <c r="BG2253" s="18"/>
    </row>
    <row r="2254" spans="49:59" ht="18" customHeight="1">
      <c r="AW2254" s="18"/>
      <c r="AX2254" s="18"/>
      <c r="AY2254" s="18"/>
      <c r="AZ2254" s="18"/>
      <c r="BA2254" s="18"/>
      <c r="BB2254" s="18"/>
      <c r="BC2254" s="18"/>
      <c r="BD2254" s="18"/>
      <c r="BE2254" s="18"/>
      <c r="BF2254" s="18"/>
      <c r="BG2254" s="18"/>
    </row>
    <row r="2255" spans="49:59" ht="18" customHeight="1">
      <c r="AW2255" s="18"/>
      <c r="AX2255" s="18"/>
      <c r="AY2255" s="18"/>
      <c r="AZ2255" s="18"/>
      <c r="BA2255" s="18"/>
      <c r="BB2255" s="18"/>
      <c r="BC2255" s="18"/>
      <c r="BD2255" s="18"/>
      <c r="BE2255" s="18"/>
      <c r="BF2255" s="18"/>
      <c r="BG2255" s="18"/>
    </row>
    <row r="2256" spans="49:59" ht="6.75" customHeight="1">
      <c r="AW2256" s="18"/>
      <c r="AX2256" s="18"/>
      <c r="AY2256" s="18"/>
      <c r="AZ2256" s="18"/>
      <c r="BA2256" s="18"/>
      <c r="BB2256" s="18"/>
      <c r="BC2256" s="18"/>
      <c r="BD2256" s="18"/>
      <c r="BE2256" s="18"/>
      <c r="BF2256" s="18"/>
      <c r="BG2256" s="18"/>
    </row>
    <row r="2257" spans="49:59" ht="18" customHeight="1">
      <c r="AW2257" s="18"/>
      <c r="AX2257" s="18"/>
      <c r="AY2257" s="18"/>
      <c r="AZ2257" s="18"/>
      <c r="BA2257" s="18"/>
      <c r="BB2257" s="18"/>
      <c r="BC2257" s="18"/>
      <c r="BD2257" s="18"/>
      <c r="BE2257" s="18"/>
      <c r="BF2257" s="18"/>
      <c r="BG2257" s="18"/>
    </row>
    <row r="2258" spans="49:59" ht="18" customHeight="1">
      <c r="AW2258" s="18"/>
      <c r="AX2258" s="18"/>
      <c r="AY2258" s="18"/>
      <c r="AZ2258" s="18"/>
      <c r="BA2258" s="18"/>
      <c r="BB2258" s="18"/>
      <c r="BC2258" s="18"/>
      <c r="BD2258" s="18"/>
      <c r="BE2258" s="18"/>
      <c r="BF2258" s="18"/>
      <c r="BG2258" s="18"/>
    </row>
    <row r="2259" spans="49:59" ht="18" customHeight="1">
      <c r="AW2259" s="18"/>
      <c r="AX2259" s="18"/>
      <c r="AY2259" s="18"/>
      <c r="AZ2259" s="18"/>
      <c r="BA2259" s="18"/>
      <c r="BB2259" s="18"/>
      <c r="BC2259" s="18"/>
      <c r="BD2259" s="18"/>
      <c r="BE2259" s="18"/>
      <c r="BF2259" s="18"/>
      <c r="BG2259" s="18"/>
    </row>
    <row r="2260" spans="49:59" ht="14.25">
      <c r="AW2260" s="18"/>
      <c r="AX2260" s="18"/>
      <c r="AY2260" s="18"/>
      <c r="AZ2260" s="18"/>
      <c r="BA2260" s="18"/>
      <c r="BB2260" s="18"/>
      <c r="BC2260" s="18"/>
      <c r="BD2260" s="18"/>
      <c r="BE2260" s="18"/>
      <c r="BF2260" s="18"/>
      <c r="BG2260" s="18"/>
    </row>
    <row r="2261" spans="49:59" ht="18" customHeight="1">
      <c r="AW2261" s="18"/>
      <c r="AX2261" s="18"/>
      <c r="AY2261" s="18"/>
      <c r="AZ2261" s="18"/>
      <c r="BA2261" s="18"/>
      <c r="BB2261" s="18"/>
      <c r="BC2261" s="18"/>
      <c r="BD2261" s="18"/>
      <c r="BE2261" s="18"/>
      <c r="BF2261" s="18"/>
      <c r="BG2261" s="18"/>
    </row>
    <row r="2262" spans="49:59" ht="58.5" customHeight="1">
      <c r="AW2262" s="18"/>
      <c r="AX2262" s="18"/>
      <c r="AY2262" s="18"/>
      <c r="AZ2262" s="18"/>
      <c r="BA2262" s="18"/>
      <c r="BB2262" s="18"/>
      <c r="BC2262" s="18"/>
      <c r="BD2262" s="18"/>
      <c r="BE2262" s="18"/>
      <c r="BF2262" s="18"/>
      <c r="BG2262" s="18"/>
    </row>
    <row r="2263" spans="49:59" ht="18" customHeight="1">
      <c r="AW2263" s="18"/>
      <c r="AX2263" s="18"/>
      <c r="AY2263" s="18"/>
      <c r="AZ2263" s="18"/>
      <c r="BA2263" s="18"/>
      <c r="BB2263" s="18"/>
      <c r="BC2263" s="18"/>
      <c r="BD2263" s="18"/>
      <c r="BE2263" s="18"/>
      <c r="BF2263" s="18"/>
      <c r="BG2263" s="18"/>
    </row>
    <row r="2264" spans="49:59" ht="18" customHeight="1">
      <c r="AW2264" s="18"/>
      <c r="AX2264" s="18"/>
      <c r="AY2264" s="18"/>
      <c r="AZ2264" s="18"/>
      <c r="BA2264" s="18"/>
      <c r="BB2264" s="18"/>
      <c r="BC2264" s="18"/>
      <c r="BD2264" s="18"/>
      <c r="BE2264" s="18"/>
      <c r="BF2264" s="18"/>
      <c r="BG2264" s="18"/>
    </row>
    <row r="2265" spans="49:59" ht="18" customHeight="1">
      <c r="AW2265" s="18"/>
      <c r="AX2265" s="18"/>
      <c r="AY2265" s="18"/>
      <c r="AZ2265" s="18"/>
      <c r="BA2265" s="18"/>
      <c r="BB2265" s="18"/>
      <c r="BC2265" s="18"/>
      <c r="BD2265" s="18"/>
      <c r="BE2265" s="18"/>
      <c r="BF2265" s="18"/>
      <c r="BG2265" s="18"/>
    </row>
    <row r="2266" spans="49:59" ht="18" customHeight="1">
      <c r="AW2266" s="18"/>
      <c r="AX2266" s="18"/>
      <c r="AY2266" s="18"/>
      <c r="AZ2266" s="18"/>
      <c r="BA2266" s="18"/>
      <c r="BB2266" s="18"/>
      <c r="BC2266" s="18"/>
      <c r="BD2266" s="18"/>
      <c r="BE2266" s="18"/>
      <c r="BF2266" s="18"/>
      <c r="BG2266" s="18"/>
    </row>
    <row r="2267" spans="49:59" ht="18" customHeight="1">
      <c r="AW2267" s="18"/>
      <c r="AX2267" s="18"/>
      <c r="AY2267" s="18"/>
      <c r="AZ2267" s="18"/>
      <c r="BA2267" s="18"/>
      <c r="BB2267" s="18"/>
      <c r="BC2267" s="18"/>
      <c r="BD2267" s="18"/>
      <c r="BE2267" s="18"/>
      <c r="BF2267" s="18"/>
      <c r="BG2267" s="18"/>
    </row>
    <row r="2268" spans="49:59" ht="18" customHeight="1">
      <c r="AW2268" s="18"/>
      <c r="AX2268" s="18"/>
      <c r="AY2268" s="18"/>
      <c r="AZ2268" s="18"/>
      <c r="BA2268" s="18"/>
      <c r="BB2268" s="18"/>
      <c r="BC2268" s="18"/>
      <c r="BD2268" s="18"/>
      <c r="BE2268" s="18"/>
      <c r="BF2268" s="18"/>
      <c r="BG2268" s="18"/>
    </row>
    <row r="2269" spans="49:59" ht="18" customHeight="1">
      <c r="AW2269" s="18"/>
      <c r="AX2269" s="18"/>
      <c r="AY2269" s="18"/>
      <c r="AZ2269" s="18"/>
      <c r="BA2269" s="18"/>
      <c r="BB2269" s="18"/>
      <c r="BC2269" s="18"/>
      <c r="BD2269" s="18"/>
      <c r="BE2269" s="18"/>
      <c r="BF2269" s="18"/>
      <c r="BG2269" s="18"/>
    </row>
    <row r="2270" spans="49:59" ht="18" customHeight="1">
      <c r="AW2270" s="18"/>
      <c r="AX2270" s="18"/>
      <c r="AY2270" s="18"/>
      <c r="AZ2270" s="18"/>
      <c r="BA2270" s="18"/>
      <c r="BB2270" s="18"/>
      <c r="BC2270" s="18"/>
      <c r="BD2270" s="18"/>
      <c r="BE2270" s="18"/>
      <c r="BF2270" s="18"/>
      <c r="BG2270" s="18"/>
    </row>
    <row r="2271" spans="49:59" ht="18" customHeight="1">
      <c r="AW2271" s="18"/>
      <c r="AX2271" s="18"/>
      <c r="AY2271" s="18"/>
      <c r="AZ2271" s="18"/>
      <c r="BA2271" s="18"/>
      <c r="BB2271" s="18"/>
      <c r="BC2271" s="18"/>
      <c r="BD2271" s="18"/>
      <c r="BE2271" s="18"/>
      <c r="BF2271" s="18"/>
      <c r="BG2271" s="18"/>
    </row>
    <row r="2272" spans="49:59" ht="18" customHeight="1">
      <c r="AW2272" s="18"/>
      <c r="AX2272" s="18"/>
      <c r="AY2272" s="18"/>
      <c r="AZ2272" s="18"/>
      <c r="BA2272" s="18"/>
      <c r="BB2272" s="18"/>
      <c r="BC2272" s="18"/>
      <c r="BD2272" s="18"/>
      <c r="BE2272" s="18"/>
      <c r="BF2272" s="18"/>
      <c r="BG2272" s="18"/>
    </row>
    <row r="2273" spans="49:59" ht="18" customHeight="1">
      <c r="AW2273" s="18"/>
      <c r="AX2273" s="18"/>
      <c r="AY2273" s="18"/>
      <c r="AZ2273" s="18"/>
      <c r="BA2273" s="18"/>
      <c r="BB2273" s="18"/>
      <c r="BC2273" s="18"/>
      <c r="BD2273" s="18"/>
      <c r="BE2273" s="18"/>
      <c r="BF2273" s="18"/>
      <c r="BG2273" s="18"/>
    </row>
    <row r="2274" spans="49:59" ht="18" customHeight="1">
      <c r="AW2274" s="18"/>
      <c r="AX2274" s="18"/>
      <c r="AY2274" s="18"/>
      <c r="AZ2274" s="18"/>
      <c r="BA2274" s="18"/>
      <c r="BB2274" s="18"/>
      <c r="BC2274" s="18"/>
      <c r="BD2274" s="18"/>
      <c r="BE2274" s="18"/>
      <c r="BF2274" s="18"/>
      <c r="BG2274" s="18"/>
    </row>
    <row r="2275" spans="49:59" ht="18" customHeight="1">
      <c r="AW2275" s="18"/>
      <c r="AX2275" s="18"/>
      <c r="AY2275" s="18"/>
      <c r="AZ2275" s="18"/>
      <c r="BA2275" s="18"/>
      <c r="BB2275" s="18"/>
      <c r="BC2275" s="18"/>
      <c r="BD2275" s="18"/>
      <c r="BE2275" s="18"/>
      <c r="BF2275" s="18"/>
      <c r="BG2275" s="18"/>
    </row>
    <row r="2276" spans="49:59" ht="18" customHeight="1">
      <c r="AW2276" s="18"/>
      <c r="AX2276" s="18"/>
      <c r="AY2276" s="18"/>
      <c r="AZ2276" s="18"/>
      <c r="BA2276" s="18"/>
      <c r="BB2276" s="18"/>
      <c r="BC2276" s="18"/>
      <c r="BD2276" s="18"/>
      <c r="BE2276" s="18"/>
      <c r="BF2276" s="18"/>
      <c r="BG2276" s="18"/>
    </row>
    <row r="2277" spans="49:59" ht="18" customHeight="1">
      <c r="AW2277" s="18"/>
      <c r="AX2277" s="18"/>
      <c r="AY2277" s="18"/>
      <c r="AZ2277" s="18"/>
      <c r="BA2277" s="18"/>
      <c r="BB2277" s="18"/>
      <c r="BC2277" s="18"/>
      <c r="BD2277" s="18"/>
      <c r="BE2277" s="18"/>
      <c r="BF2277" s="18"/>
      <c r="BG2277" s="18"/>
    </row>
    <row r="2278" spans="49:59" ht="18" customHeight="1">
      <c r="AW2278" s="18"/>
      <c r="AX2278" s="18"/>
      <c r="AY2278" s="18"/>
      <c r="AZ2278" s="18"/>
      <c r="BA2278" s="18"/>
      <c r="BB2278" s="18"/>
      <c r="BC2278" s="18"/>
      <c r="BD2278" s="18"/>
      <c r="BE2278" s="18"/>
      <c r="BF2278" s="18"/>
      <c r="BG2278" s="18"/>
    </row>
    <row r="2279" spans="49:59" ht="18" customHeight="1">
      <c r="AW2279" s="18"/>
      <c r="AX2279" s="18"/>
      <c r="AY2279" s="18"/>
      <c r="AZ2279" s="18"/>
      <c r="BA2279" s="18"/>
      <c r="BB2279" s="18"/>
      <c r="BC2279" s="18"/>
      <c r="BD2279" s="18"/>
      <c r="BE2279" s="18"/>
      <c r="BF2279" s="18"/>
      <c r="BG2279" s="18"/>
    </row>
    <row r="2280" spans="49:59" ht="18" customHeight="1">
      <c r="AW2280" s="18"/>
      <c r="AX2280" s="18"/>
      <c r="AY2280" s="18"/>
      <c r="AZ2280" s="18"/>
      <c r="BA2280" s="18"/>
      <c r="BB2280" s="18"/>
      <c r="BC2280" s="18"/>
      <c r="BD2280" s="18"/>
      <c r="BE2280" s="18"/>
      <c r="BF2280" s="18"/>
      <c r="BG2280" s="18"/>
    </row>
    <row r="2281" spans="49:59" ht="18" customHeight="1">
      <c r="AW2281" s="18"/>
      <c r="AX2281" s="18"/>
      <c r="AY2281" s="18"/>
      <c r="AZ2281" s="18"/>
      <c r="BA2281" s="18"/>
      <c r="BB2281" s="18"/>
      <c r="BC2281" s="18"/>
      <c r="BD2281" s="18"/>
      <c r="BE2281" s="18"/>
      <c r="BF2281" s="18"/>
      <c r="BG2281" s="18"/>
    </row>
    <row r="2282" spans="49:59" ht="18" customHeight="1">
      <c r="AW2282" s="18"/>
      <c r="AX2282" s="18"/>
      <c r="AY2282" s="18"/>
      <c r="AZ2282" s="18"/>
      <c r="BA2282" s="18"/>
      <c r="BB2282" s="18"/>
      <c r="BC2282" s="18"/>
      <c r="BD2282" s="18"/>
      <c r="BE2282" s="18"/>
      <c r="BF2282" s="18"/>
      <c r="BG2282" s="18"/>
    </row>
    <row r="2283" spans="49:59" ht="18" customHeight="1">
      <c r="AW2283" s="18"/>
      <c r="AX2283" s="18"/>
      <c r="AY2283" s="18"/>
      <c r="AZ2283" s="18"/>
      <c r="BA2283" s="18"/>
      <c r="BB2283" s="18"/>
      <c r="BC2283" s="18"/>
      <c r="BD2283" s="18"/>
      <c r="BE2283" s="18"/>
      <c r="BF2283" s="18"/>
      <c r="BG2283" s="18"/>
    </row>
    <row r="2284" spans="49:59" ht="18" customHeight="1">
      <c r="AW2284" s="18"/>
      <c r="AX2284" s="18"/>
      <c r="AY2284" s="18"/>
      <c r="AZ2284" s="18"/>
      <c r="BA2284" s="18"/>
      <c r="BB2284" s="18"/>
      <c r="BC2284" s="18"/>
      <c r="BD2284" s="18"/>
      <c r="BE2284" s="18"/>
      <c r="BF2284" s="18"/>
      <c r="BG2284" s="18"/>
    </row>
    <row r="2285" spans="49:59" ht="18" customHeight="1">
      <c r="AW2285" s="18"/>
      <c r="AX2285" s="18"/>
      <c r="AY2285" s="18"/>
      <c r="AZ2285" s="18"/>
      <c r="BA2285" s="18"/>
      <c r="BB2285" s="18"/>
      <c r="BC2285" s="18"/>
      <c r="BD2285" s="18"/>
      <c r="BE2285" s="18"/>
      <c r="BF2285" s="18"/>
      <c r="BG2285" s="18"/>
    </row>
    <row r="2286" spans="49:59" ht="18" customHeight="1">
      <c r="AW2286" s="18"/>
      <c r="AX2286" s="18"/>
      <c r="AY2286" s="18"/>
      <c r="AZ2286" s="18"/>
      <c r="BA2286" s="18"/>
      <c r="BB2286" s="18"/>
      <c r="BC2286" s="18"/>
      <c r="BD2286" s="18"/>
      <c r="BE2286" s="18"/>
      <c r="BF2286" s="18"/>
      <c r="BG2286" s="18"/>
    </row>
    <row r="2287" spans="49:59" ht="14.25">
      <c r="AW2287" s="18"/>
      <c r="AX2287" s="18"/>
      <c r="AY2287" s="18"/>
      <c r="AZ2287" s="18"/>
      <c r="BA2287" s="18"/>
      <c r="BB2287" s="18"/>
      <c r="BC2287" s="18"/>
      <c r="BD2287" s="18"/>
      <c r="BE2287" s="18"/>
      <c r="BF2287" s="18"/>
      <c r="BG2287" s="18"/>
    </row>
    <row r="2288" spans="49:59" ht="14.25">
      <c r="AW2288" s="18"/>
      <c r="AX2288" s="18"/>
      <c r="AY2288" s="18"/>
      <c r="AZ2288" s="18"/>
      <c r="BA2288" s="18"/>
      <c r="BB2288" s="18"/>
      <c r="BC2288" s="18"/>
      <c r="BD2288" s="18"/>
      <c r="BE2288" s="18"/>
      <c r="BF2288" s="18"/>
      <c r="BG2288" s="18"/>
    </row>
    <row r="2289" spans="49:59" ht="14.25">
      <c r="AW2289" s="18"/>
      <c r="AX2289" s="18"/>
      <c r="AY2289" s="18"/>
      <c r="AZ2289" s="18"/>
      <c r="BA2289" s="18"/>
      <c r="BB2289" s="18"/>
      <c r="BC2289" s="18"/>
      <c r="BD2289" s="18"/>
      <c r="BE2289" s="18"/>
      <c r="BF2289" s="18"/>
      <c r="BG2289" s="18"/>
    </row>
    <row r="2290" spans="49:59" ht="14.25">
      <c r="AW2290" s="18"/>
      <c r="AX2290" s="18"/>
      <c r="AY2290" s="18"/>
      <c r="AZ2290" s="18"/>
      <c r="BA2290" s="18"/>
      <c r="BB2290" s="18"/>
      <c r="BC2290" s="18"/>
      <c r="BD2290" s="18"/>
      <c r="BE2290" s="18"/>
      <c r="BF2290" s="18"/>
      <c r="BG2290" s="18"/>
    </row>
    <row r="2291" spans="49:59" ht="18" customHeight="1">
      <c r="AW2291" s="18"/>
      <c r="AX2291" s="18"/>
      <c r="AY2291" s="18"/>
      <c r="AZ2291" s="18"/>
      <c r="BA2291" s="18"/>
      <c r="BB2291" s="18"/>
      <c r="BC2291" s="18"/>
      <c r="BD2291" s="18"/>
      <c r="BE2291" s="18"/>
      <c r="BF2291" s="18"/>
      <c r="BG2291" s="18"/>
    </row>
    <row r="2292" spans="49:59" ht="46.5" customHeight="1">
      <c r="AW2292" s="18"/>
      <c r="AX2292" s="18"/>
      <c r="AY2292" s="18"/>
      <c r="AZ2292" s="18"/>
      <c r="BA2292" s="18"/>
      <c r="BB2292" s="18"/>
      <c r="BC2292" s="18"/>
      <c r="BD2292" s="18"/>
      <c r="BE2292" s="18"/>
      <c r="BF2292" s="18"/>
      <c r="BG2292" s="18"/>
    </row>
    <row r="2293" spans="49:59" ht="14.25">
      <c r="AW2293" s="18"/>
      <c r="AX2293" s="18"/>
      <c r="AY2293" s="18"/>
      <c r="AZ2293" s="18"/>
      <c r="BA2293" s="18"/>
      <c r="BB2293" s="18"/>
      <c r="BC2293" s="18"/>
      <c r="BD2293" s="18"/>
      <c r="BE2293" s="18"/>
      <c r="BF2293" s="18"/>
      <c r="BG2293" s="18"/>
    </row>
    <row r="2294" spans="49:59" ht="14.25">
      <c r="AW2294" s="18"/>
      <c r="AX2294" s="18"/>
      <c r="AY2294" s="18"/>
      <c r="AZ2294" s="18"/>
      <c r="BA2294" s="18"/>
      <c r="BB2294" s="18"/>
      <c r="BC2294" s="18"/>
      <c r="BD2294" s="18"/>
      <c r="BE2294" s="18"/>
      <c r="BF2294" s="18"/>
      <c r="BG2294" s="18"/>
    </row>
    <row r="2295" spans="49:59" ht="42.75" customHeight="1">
      <c r="AW2295" s="18"/>
      <c r="AX2295" s="18"/>
      <c r="AY2295" s="18"/>
      <c r="AZ2295" s="18"/>
      <c r="BA2295" s="18"/>
      <c r="BB2295" s="18"/>
      <c r="BC2295" s="18"/>
      <c r="BD2295" s="18"/>
      <c r="BE2295" s="18"/>
      <c r="BF2295" s="18"/>
      <c r="BG2295" s="18"/>
    </row>
    <row r="2296" spans="49:59" ht="42.75" customHeight="1">
      <c r="AW2296" s="18"/>
      <c r="AX2296" s="18"/>
      <c r="AY2296" s="18"/>
      <c r="AZ2296" s="18"/>
      <c r="BA2296" s="18"/>
      <c r="BB2296" s="18"/>
      <c r="BC2296" s="18"/>
      <c r="BD2296" s="18"/>
      <c r="BE2296" s="18"/>
      <c r="BF2296" s="18"/>
      <c r="BG2296" s="18"/>
    </row>
    <row r="2297" spans="49:59" ht="42.75" customHeight="1">
      <c r="AW2297" s="18"/>
      <c r="AX2297" s="18"/>
      <c r="AY2297" s="18"/>
      <c r="AZ2297" s="18"/>
      <c r="BA2297" s="18"/>
      <c r="BB2297" s="18"/>
      <c r="BC2297" s="18"/>
      <c r="BD2297" s="18"/>
      <c r="BE2297" s="18"/>
      <c r="BF2297" s="18"/>
      <c r="BG2297" s="18"/>
    </row>
    <row r="2298" spans="49:59" ht="14.25">
      <c r="AW2298" s="18"/>
      <c r="AX2298" s="18"/>
      <c r="AY2298" s="18"/>
      <c r="AZ2298" s="18"/>
      <c r="BA2298" s="18"/>
      <c r="BB2298" s="18"/>
      <c r="BC2298" s="18"/>
      <c r="BD2298" s="18"/>
      <c r="BE2298" s="18"/>
      <c r="BF2298" s="18"/>
      <c r="BG2298" s="18"/>
    </row>
    <row r="2299" spans="49:59" ht="14.25">
      <c r="AW2299" s="18"/>
      <c r="AX2299" s="18"/>
      <c r="AY2299" s="18"/>
      <c r="AZ2299" s="18"/>
      <c r="BA2299" s="18"/>
      <c r="BB2299" s="18"/>
      <c r="BC2299" s="18"/>
      <c r="BD2299" s="18"/>
      <c r="BE2299" s="18"/>
      <c r="BF2299" s="18"/>
      <c r="BG2299" s="18"/>
    </row>
    <row r="2300" spans="49:59" ht="14.25">
      <c r="AW2300" s="18"/>
      <c r="AX2300" s="18"/>
      <c r="AY2300" s="18"/>
      <c r="AZ2300" s="18"/>
      <c r="BA2300" s="18"/>
      <c r="BB2300" s="18"/>
      <c r="BC2300" s="18"/>
      <c r="BD2300" s="18"/>
      <c r="BE2300" s="18"/>
      <c r="BF2300" s="18"/>
      <c r="BG2300" s="18"/>
    </row>
    <row r="2301" spans="49:59" ht="18" customHeight="1">
      <c r="AW2301" s="18"/>
      <c r="AX2301" s="18"/>
      <c r="AY2301" s="18"/>
      <c r="AZ2301" s="18"/>
      <c r="BA2301" s="18"/>
      <c r="BB2301" s="18"/>
      <c r="BC2301" s="18"/>
      <c r="BD2301" s="18"/>
      <c r="BE2301" s="18"/>
      <c r="BF2301" s="18"/>
      <c r="BG2301" s="18"/>
    </row>
    <row r="2302" spans="49:59" ht="18" customHeight="1">
      <c r="AW2302" s="18"/>
      <c r="AX2302" s="18"/>
      <c r="AY2302" s="18"/>
      <c r="AZ2302" s="18"/>
      <c r="BA2302" s="18"/>
      <c r="BB2302" s="18"/>
      <c r="BC2302" s="18"/>
      <c r="BD2302" s="18"/>
      <c r="BE2302" s="18"/>
      <c r="BF2302" s="18"/>
      <c r="BG2302" s="18"/>
    </row>
    <row r="2303" spans="49:59" ht="18" customHeight="1">
      <c r="AW2303" s="18"/>
      <c r="AX2303" s="18"/>
      <c r="AY2303" s="18"/>
      <c r="AZ2303" s="18"/>
      <c r="BA2303" s="18"/>
      <c r="BB2303" s="18"/>
      <c r="BC2303" s="18"/>
      <c r="BD2303" s="18"/>
      <c r="BE2303" s="18"/>
      <c r="BF2303" s="18"/>
      <c r="BG2303" s="18"/>
    </row>
    <row r="2304" spans="49:59" ht="18" customHeight="1">
      <c r="AW2304" s="18"/>
      <c r="AX2304" s="18"/>
      <c r="AY2304" s="18"/>
      <c r="AZ2304" s="18"/>
      <c r="BA2304" s="18"/>
      <c r="BB2304" s="18"/>
      <c r="BC2304" s="18"/>
      <c r="BD2304" s="18"/>
      <c r="BE2304" s="18"/>
      <c r="BF2304" s="18"/>
      <c r="BG2304" s="18"/>
    </row>
    <row r="2305" spans="49:59" ht="18" customHeight="1">
      <c r="AW2305" s="18"/>
      <c r="AX2305" s="18"/>
      <c r="AY2305" s="18"/>
      <c r="AZ2305" s="18"/>
      <c r="BA2305" s="18"/>
      <c r="BB2305" s="18"/>
      <c r="BC2305" s="18"/>
      <c r="BD2305" s="18"/>
      <c r="BE2305" s="18"/>
      <c r="BF2305" s="18"/>
      <c r="BG2305" s="18"/>
    </row>
    <row r="2306" spans="49:59" ht="18" customHeight="1">
      <c r="AW2306" s="18"/>
      <c r="AX2306" s="18"/>
      <c r="AY2306" s="18"/>
      <c r="AZ2306" s="18"/>
      <c r="BA2306" s="18"/>
      <c r="BB2306" s="18"/>
      <c r="BC2306" s="18"/>
      <c r="BD2306" s="18"/>
      <c r="BE2306" s="18"/>
      <c r="BF2306" s="18"/>
      <c r="BG2306" s="18"/>
    </row>
    <row r="2307" spans="49:59" ht="18" customHeight="1">
      <c r="AW2307" s="18"/>
      <c r="AX2307" s="18"/>
      <c r="AY2307" s="18"/>
      <c r="AZ2307" s="18"/>
      <c r="BA2307" s="18"/>
      <c r="BB2307" s="18"/>
      <c r="BC2307" s="18"/>
      <c r="BD2307" s="18"/>
      <c r="BE2307" s="18"/>
      <c r="BF2307" s="18"/>
      <c r="BG2307" s="18"/>
    </row>
    <row r="2308" spans="49:59" ht="18" customHeight="1">
      <c r="AW2308" s="18"/>
      <c r="AX2308" s="18"/>
      <c r="AY2308" s="18"/>
      <c r="AZ2308" s="18"/>
      <c r="BA2308" s="18"/>
      <c r="BB2308" s="18"/>
      <c r="BC2308" s="18"/>
      <c r="BD2308" s="18"/>
      <c r="BE2308" s="18"/>
      <c r="BF2308" s="18"/>
      <c r="BG2308" s="18"/>
    </row>
    <row r="2309" spans="49:59" ht="18" customHeight="1">
      <c r="AW2309" s="18"/>
      <c r="AX2309" s="18"/>
      <c r="AY2309" s="18"/>
      <c r="AZ2309" s="18"/>
      <c r="BA2309" s="18"/>
      <c r="BB2309" s="18"/>
      <c r="BC2309" s="18"/>
      <c r="BD2309" s="18"/>
      <c r="BE2309" s="18"/>
      <c r="BF2309" s="18"/>
      <c r="BG2309" s="18"/>
    </row>
    <row r="2310" spans="49:59" ht="18" customHeight="1">
      <c r="AW2310" s="18"/>
      <c r="AX2310" s="18"/>
      <c r="AY2310" s="18"/>
      <c r="AZ2310" s="18"/>
      <c r="BA2310" s="18"/>
      <c r="BB2310" s="18"/>
      <c r="BC2310" s="18"/>
      <c r="BD2310" s="18"/>
      <c r="BE2310" s="18"/>
      <c r="BF2310" s="18"/>
      <c r="BG2310" s="18"/>
    </row>
    <row r="2311" spans="49:59" ht="18" customHeight="1">
      <c r="AW2311" s="18"/>
      <c r="AX2311" s="18"/>
      <c r="AY2311" s="18"/>
      <c r="AZ2311" s="18"/>
      <c r="BA2311" s="18"/>
      <c r="BB2311" s="18"/>
      <c r="BC2311" s="18"/>
      <c r="BD2311" s="18"/>
      <c r="BE2311" s="18"/>
      <c r="BF2311" s="18"/>
      <c r="BG2311" s="18"/>
    </row>
    <row r="2312" spans="49:59" ht="18" customHeight="1">
      <c r="AW2312" s="18"/>
      <c r="AX2312" s="18"/>
      <c r="AY2312" s="18"/>
      <c r="AZ2312" s="18"/>
      <c r="BA2312" s="18"/>
      <c r="BB2312" s="18"/>
      <c r="BC2312" s="18"/>
      <c r="BD2312" s="18"/>
      <c r="BE2312" s="18"/>
      <c r="BF2312" s="18"/>
      <c r="BG2312" s="18"/>
    </row>
    <row r="2313" spans="49:59" ht="18" customHeight="1">
      <c r="AW2313" s="18"/>
      <c r="AX2313" s="18"/>
      <c r="AY2313" s="18"/>
      <c r="AZ2313" s="18"/>
      <c r="BA2313" s="18"/>
      <c r="BB2313" s="18"/>
      <c r="BC2313" s="18"/>
      <c r="BD2313" s="18"/>
      <c r="BE2313" s="18"/>
      <c r="BF2313" s="18"/>
      <c r="BG2313" s="18"/>
    </row>
    <row r="2314" spans="49:59" ht="18" customHeight="1">
      <c r="AW2314" s="18"/>
      <c r="AX2314" s="18"/>
      <c r="AY2314" s="18"/>
      <c r="AZ2314" s="18"/>
      <c r="BA2314" s="18"/>
      <c r="BB2314" s="18"/>
      <c r="BC2314" s="18"/>
      <c r="BD2314" s="18"/>
      <c r="BE2314" s="18"/>
      <c r="BF2314" s="18"/>
      <c r="BG2314" s="18"/>
    </row>
    <row r="2315" spans="49:59" ht="18" customHeight="1">
      <c r="AW2315" s="18"/>
      <c r="AX2315" s="18"/>
      <c r="AY2315" s="18"/>
      <c r="AZ2315" s="18"/>
      <c r="BA2315" s="18"/>
      <c r="BB2315" s="18"/>
      <c r="BC2315" s="18"/>
      <c r="BD2315" s="18"/>
      <c r="BE2315" s="18"/>
      <c r="BF2315" s="18"/>
      <c r="BG2315" s="18"/>
    </row>
    <row r="2316" spans="49:59" ht="18" customHeight="1">
      <c r="AW2316" s="18"/>
      <c r="AX2316" s="18"/>
      <c r="AY2316" s="18"/>
      <c r="AZ2316" s="18"/>
      <c r="BA2316" s="18"/>
      <c r="BB2316" s="18"/>
      <c r="BC2316" s="18"/>
      <c r="BD2316" s="18"/>
      <c r="BE2316" s="18"/>
      <c r="BF2316" s="18"/>
      <c r="BG2316" s="18"/>
    </row>
    <row r="2317" spans="49:59" ht="18" customHeight="1">
      <c r="AW2317" s="18"/>
      <c r="AX2317" s="18"/>
      <c r="AY2317" s="18"/>
      <c r="AZ2317" s="18"/>
      <c r="BA2317" s="18"/>
      <c r="BB2317" s="18"/>
      <c r="BC2317" s="18"/>
      <c r="BD2317" s="18"/>
      <c r="BE2317" s="18"/>
      <c r="BF2317" s="18"/>
      <c r="BG2317" s="18"/>
    </row>
    <row r="2318" spans="49:59" ht="18" customHeight="1">
      <c r="AW2318" s="18"/>
      <c r="AX2318" s="18"/>
      <c r="AY2318" s="18"/>
      <c r="AZ2318" s="18"/>
      <c r="BA2318" s="18"/>
      <c r="BB2318" s="18"/>
      <c r="BC2318" s="18"/>
      <c r="BD2318" s="18"/>
      <c r="BE2318" s="18"/>
      <c r="BF2318" s="18"/>
      <c r="BG2318" s="18"/>
    </row>
    <row r="2319" spans="49:59" ht="18" customHeight="1">
      <c r="AW2319" s="18"/>
      <c r="AX2319" s="18"/>
      <c r="AY2319" s="18"/>
      <c r="AZ2319" s="18"/>
      <c r="BA2319" s="18"/>
      <c r="BB2319" s="18"/>
      <c r="BC2319" s="18"/>
      <c r="BD2319" s="18"/>
      <c r="BE2319" s="18"/>
      <c r="BF2319" s="18"/>
      <c r="BG2319" s="18"/>
    </row>
    <row r="2320" spans="49:59" ht="18" customHeight="1">
      <c r="AW2320" s="18"/>
      <c r="AX2320" s="18"/>
      <c r="AY2320" s="18"/>
      <c r="AZ2320" s="18"/>
      <c r="BA2320" s="18"/>
      <c r="BB2320" s="18"/>
      <c r="BC2320" s="18"/>
      <c r="BD2320" s="18"/>
      <c r="BE2320" s="18"/>
      <c r="BF2320" s="18"/>
      <c r="BG2320" s="18"/>
    </row>
    <row r="2321" spans="49:59" ht="18" customHeight="1">
      <c r="AW2321" s="18"/>
      <c r="AX2321" s="18"/>
      <c r="AY2321" s="18"/>
      <c r="AZ2321" s="18"/>
      <c r="BA2321" s="18"/>
      <c r="BB2321" s="18"/>
      <c r="BC2321" s="18"/>
      <c r="BD2321" s="18"/>
      <c r="BE2321" s="18"/>
      <c r="BF2321" s="18"/>
      <c r="BG2321" s="18"/>
    </row>
    <row r="2322" spans="49:59" ht="18" customHeight="1">
      <c r="AW2322" s="18"/>
      <c r="AX2322" s="18"/>
      <c r="AY2322" s="18"/>
      <c r="AZ2322" s="18"/>
      <c r="BA2322" s="18"/>
      <c r="BB2322" s="18"/>
      <c r="BC2322" s="18"/>
      <c r="BD2322" s="18"/>
      <c r="BE2322" s="18"/>
      <c r="BF2322" s="18"/>
      <c r="BG2322" s="18"/>
    </row>
    <row r="2323" spans="49:59" ht="18" customHeight="1">
      <c r="AW2323" s="18"/>
      <c r="AX2323" s="18"/>
      <c r="AY2323" s="18"/>
      <c r="AZ2323" s="18"/>
      <c r="BA2323" s="18"/>
      <c r="BB2323" s="18"/>
      <c r="BC2323" s="18"/>
      <c r="BD2323" s="18"/>
      <c r="BE2323" s="18"/>
      <c r="BF2323" s="18"/>
      <c r="BG2323" s="18"/>
    </row>
    <row r="2324" spans="49:59" ht="18" customHeight="1">
      <c r="AW2324" s="18"/>
      <c r="AX2324" s="18"/>
      <c r="AY2324" s="18"/>
      <c r="AZ2324" s="18"/>
      <c r="BA2324" s="18"/>
      <c r="BB2324" s="18"/>
      <c r="BC2324" s="18"/>
      <c r="BD2324" s="18"/>
      <c r="BE2324" s="18"/>
      <c r="BF2324" s="18"/>
      <c r="BG2324" s="18"/>
    </row>
    <row r="2325" spans="49:59" ht="18" customHeight="1">
      <c r="AW2325" s="18"/>
      <c r="AX2325" s="18"/>
      <c r="AY2325" s="18"/>
      <c r="AZ2325" s="18"/>
      <c r="BA2325" s="18"/>
      <c r="BB2325" s="18"/>
      <c r="BC2325" s="18"/>
      <c r="BD2325" s="18"/>
      <c r="BE2325" s="18"/>
      <c r="BF2325" s="18"/>
      <c r="BG2325" s="18"/>
    </row>
    <row r="2326" spans="49:59" ht="18" customHeight="1">
      <c r="AW2326" s="18"/>
      <c r="AX2326" s="18"/>
      <c r="AY2326" s="18"/>
      <c r="AZ2326" s="18"/>
      <c r="BA2326" s="18"/>
      <c r="BB2326" s="18"/>
      <c r="BC2326" s="18"/>
      <c r="BD2326" s="18"/>
      <c r="BE2326" s="18"/>
      <c r="BF2326" s="18"/>
      <c r="BG2326" s="18"/>
    </row>
    <row r="2327" spans="49:59" ht="18" customHeight="1">
      <c r="AW2327" s="18"/>
      <c r="AX2327" s="18"/>
      <c r="AY2327" s="18"/>
      <c r="AZ2327" s="18"/>
      <c r="BA2327" s="18"/>
      <c r="BB2327" s="18"/>
      <c r="BC2327" s="18"/>
      <c r="BD2327" s="18"/>
      <c r="BE2327" s="18"/>
      <c r="BF2327" s="18"/>
      <c r="BG2327" s="18"/>
    </row>
    <row r="2328" spans="49:59" ht="18" customHeight="1">
      <c r="AW2328" s="18"/>
      <c r="AX2328" s="18"/>
      <c r="AY2328" s="18"/>
      <c r="AZ2328" s="18"/>
      <c r="BA2328" s="18"/>
      <c r="BB2328" s="18"/>
      <c r="BC2328" s="18"/>
      <c r="BD2328" s="18"/>
      <c r="BE2328" s="18"/>
      <c r="BF2328" s="18"/>
      <c r="BG2328" s="18"/>
    </row>
    <row r="2329" spans="49:59" ht="18" customHeight="1">
      <c r="AW2329" s="18"/>
      <c r="AX2329" s="18"/>
      <c r="AY2329" s="18"/>
      <c r="AZ2329" s="18"/>
      <c r="BA2329" s="18"/>
      <c r="BB2329" s="18"/>
      <c r="BC2329" s="18"/>
      <c r="BD2329" s="18"/>
      <c r="BE2329" s="18"/>
      <c r="BF2329" s="18"/>
      <c r="BG2329" s="18"/>
    </row>
    <row r="2330" spans="49:59" ht="18" customHeight="1">
      <c r="AW2330" s="18"/>
      <c r="AX2330" s="18"/>
      <c r="AY2330" s="18"/>
      <c r="AZ2330" s="18"/>
      <c r="BA2330" s="18"/>
      <c r="BB2330" s="18"/>
      <c r="BC2330" s="18"/>
      <c r="BD2330" s="18"/>
      <c r="BE2330" s="18"/>
      <c r="BF2330" s="18"/>
      <c r="BG2330" s="18"/>
    </row>
    <row r="2331" spans="49:59" ht="18" customHeight="1">
      <c r="AW2331" s="18"/>
      <c r="AX2331" s="18"/>
      <c r="AY2331" s="18"/>
      <c r="AZ2331" s="18"/>
      <c r="BA2331" s="18"/>
      <c r="BB2331" s="18"/>
      <c r="BC2331" s="18"/>
      <c r="BD2331" s="18"/>
      <c r="BE2331" s="18"/>
      <c r="BF2331" s="18"/>
      <c r="BG2331" s="18"/>
    </row>
    <row r="2332" spans="49:59" ht="18" customHeight="1">
      <c r="AW2332" s="18"/>
      <c r="AX2332" s="18"/>
      <c r="AY2332" s="18"/>
      <c r="AZ2332" s="18"/>
      <c r="BA2332" s="18"/>
      <c r="BB2332" s="18"/>
      <c r="BC2332" s="18"/>
      <c r="BD2332" s="18"/>
      <c r="BE2332" s="18"/>
      <c r="BF2332" s="18"/>
      <c r="BG2332" s="18"/>
    </row>
    <row r="2333" spans="49:59" ht="18" customHeight="1">
      <c r="AW2333" s="18"/>
      <c r="AX2333" s="18"/>
      <c r="AY2333" s="18"/>
      <c r="AZ2333" s="18"/>
      <c r="BA2333" s="18"/>
      <c r="BB2333" s="18"/>
      <c r="BC2333" s="18"/>
      <c r="BD2333" s="18"/>
      <c r="BE2333" s="18"/>
      <c r="BF2333" s="18"/>
      <c r="BG2333" s="18"/>
    </row>
    <row r="2334" spans="49:59" ht="18" customHeight="1">
      <c r="AW2334" s="18"/>
      <c r="AX2334" s="18"/>
      <c r="AY2334" s="18"/>
      <c r="AZ2334" s="18"/>
      <c r="BA2334" s="18"/>
      <c r="BB2334" s="18"/>
      <c r="BC2334" s="18"/>
      <c r="BD2334" s="18"/>
      <c r="BE2334" s="18"/>
      <c r="BF2334" s="18"/>
      <c r="BG2334" s="18"/>
    </row>
    <row r="2335" spans="49:59" ht="18" customHeight="1">
      <c r="AW2335" s="18"/>
      <c r="AX2335" s="18"/>
      <c r="AY2335" s="18"/>
      <c r="AZ2335" s="18"/>
      <c r="BA2335" s="18"/>
      <c r="BB2335" s="18"/>
      <c r="BC2335" s="18"/>
      <c r="BD2335" s="18"/>
      <c r="BE2335" s="18"/>
      <c r="BF2335" s="18"/>
      <c r="BG2335" s="18"/>
    </row>
    <row r="2336" spans="49:59" ht="18" customHeight="1">
      <c r="AW2336" s="18"/>
      <c r="AX2336" s="18"/>
      <c r="AY2336" s="18"/>
      <c r="AZ2336" s="18"/>
      <c r="BA2336" s="18"/>
      <c r="BB2336" s="18"/>
      <c r="BC2336" s="18"/>
      <c r="BD2336" s="18"/>
      <c r="BE2336" s="18"/>
      <c r="BF2336" s="18"/>
      <c r="BG2336" s="18"/>
    </row>
    <row r="2337" spans="49:59" ht="18" customHeight="1">
      <c r="AW2337" s="18"/>
      <c r="AX2337" s="18"/>
      <c r="AY2337" s="18"/>
      <c r="AZ2337" s="18"/>
      <c r="BA2337" s="18"/>
      <c r="BB2337" s="18"/>
      <c r="BC2337" s="18"/>
      <c r="BD2337" s="18"/>
      <c r="BE2337" s="18"/>
      <c r="BF2337" s="18"/>
      <c r="BG2337" s="18"/>
    </row>
    <row r="2338" spans="49:59" ht="18" customHeight="1">
      <c r="AW2338" s="18"/>
      <c r="AX2338" s="18"/>
      <c r="AY2338" s="18"/>
      <c r="AZ2338" s="18"/>
      <c r="BA2338" s="18"/>
      <c r="BB2338" s="18"/>
      <c r="BC2338" s="18"/>
      <c r="BD2338" s="18"/>
      <c r="BE2338" s="18"/>
      <c r="BF2338" s="18"/>
      <c r="BG2338" s="18"/>
    </row>
    <row r="2339" spans="49:59" ht="18" customHeight="1">
      <c r="AW2339" s="18"/>
      <c r="AX2339" s="18"/>
      <c r="AY2339" s="18"/>
      <c r="AZ2339" s="18"/>
      <c r="BA2339" s="18"/>
      <c r="BB2339" s="18"/>
      <c r="BC2339" s="18"/>
      <c r="BD2339" s="18"/>
      <c r="BE2339" s="18"/>
      <c r="BF2339" s="18"/>
      <c r="BG2339" s="18"/>
    </row>
    <row r="2340" spans="49:59" ht="18" customHeight="1">
      <c r="AW2340" s="18"/>
      <c r="AX2340" s="18"/>
      <c r="AY2340" s="18"/>
      <c r="AZ2340" s="18"/>
      <c r="BA2340" s="18"/>
      <c r="BB2340" s="18"/>
      <c r="BC2340" s="18"/>
      <c r="BD2340" s="18"/>
      <c r="BE2340" s="18"/>
      <c r="BF2340" s="18"/>
      <c r="BG2340" s="18"/>
    </row>
    <row r="2341" spans="49:59" ht="18" customHeight="1">
      <c r="AW2341" s="18"/>
      <c r="AX2341" s="18"/>
      <c r="AY2341" s="18"/>
      <c r="AZ2341" s="18"/>
      <c r="BA2341" s="18"/>
      <c r="BB2341" s="18"/>
      <c r="BC2341" s="18"/>
      <c r="BD2341" s="18"/>
      <c r="BE2341" s="18"/>
      <c r="BF2341" s="18"/>
      <c r="BG2341" s="18"/>
    </row>
    <row r="2342" spans="49:59" ht="18" customHeight="1">
      <c r="AW2342" s="18"/>
      <c r="AX2342" s="18"/>
      <c r="AY2342" s="18"/>
      <c r="AZ2342" s="18"/>
      <c r="BA2342" s="18"/>
      <c r="BB2342" s="18"/>
      <c r="BC2342" s="18"/>
      <c r="BD2342" s="18"/>
      <c r="BE2342" s="18"/>
      <c r="BF2342" s="18"/>
      <c r="BG2342" s="18"/>
    </row>
    <row r="2343" spans="49:59" ht="18" customHeight="1">
      <c r="AW2343" s="18"/>
      <c r="AX2343" s="18"/>
      <c r="AY2343" s="18"/>
      <c r="AZ2343" s="18"/>
      <c r="BA2343" s="18"/>
      <c r="BB2343" s="18"/>
      <c r="BC2343" s="18"/>
      <c r="BD2343" s="18"/>
      <c r="BE2343" s="18"/>
      <c r="BF2343" s="18"/>
      <c r="BG2343" s="18"/>
    </row>
    <row r="2344" spans="49:59" ht="18" customHeight="1">
      <c r="AW2344" s="18"/>
      <c r="AX2344" s="18"/>
      <c r="AY2344" s="18"/>
      <c r="AZ2344" s="18"/>
      <c r="BA2344" s="18"/>
      <c r="BB2344" s="18"/>
      <c r="BC2344" s="18"/>
      <c r="BD2344" s="18"/>
      <c r="BE2344" s="18"/>
      <c r="BF2344" s="18"/>
      <c r="BG2344" s="18"/>
    </row>
    <row r="2345" spans="49:59" ht="18" customHeight="1">
      <c r="AW2345" s="18"/>
      <c r="AX2345" s="18"/>
      <c r="AY2345" s="18"/>
      <c r="AZ2345" s="18"/>
      <c r="BA2345" s="18"/>
      <c r="BB2345" s="18"/>
      <c r="BC2345" s="18"/>
      <c r="BD2345" s="18"/>
      <c r="BE2345" s="18"/>
      <c r="BF2345" s="18"/>
      <c r="BG2345" s="18"/>
    </row>
    <row r="2346" spans="49:59" ht="18" customHeight="1">
      <c r="AW2346" s="18"/>
      <c r="AX2346" s="18"/>
      <c r="AY2346" s="18"/>
      <c r="AZ2346" s="18"/>
      <c r="BA2346" s="18"/>
      <c r="BB2346" s="18"/>
      <c r="BC2346" s="18"/>
      <c r="BD2346" s="18"/>
      <c r="BE2346" s="18"/>
      <c r="BF2346" s="18"/>
      <c r="BG2346" s="18"/>
    </row>
    <row r="2347" spans="49:59" ht="18" customHeight="1">
      <c r="AW2347" s="18"/>
      <c r="AX2347" s="18"/>
      <c r="AY2347" s="18"/>
      <c r="AZ2347" s="18"/>
      <c r="BA2347" s="18"/>
      <c r="BB2347" s="18"/>
      <c r="BC2347" s="18"/>
      <c r="BD2347" s="18"/>
      <c r="BE2347" s="18"/>
      <c r="BF2347" s="18"/>
      <c r="BG2347" s="18"/>
    </row>
    <row r="2348" spans="49:59" ht="18" customHeight="1">
      <c r="AW2348" s="18"/>
      <c r="AX2348" s="18"/>
      <c r="AY2348" s="18"/>
      <c r="AZ2348" s="18"/>
      <c r="BA2348" s="18"/>
      <c r="BB2348" s="18"/>
      <c r="BC2348" s="18"/>
      <c r="BD2348" s="18"/>
      <c r="BE2348" s="18"/>
      <c r="BF2348" s="18"/>
      <c r="BG2348" s="18"/>
    </row>
    <row r="2349" spans="49:59" ht="18" customHeight="1">
      <c r="AW2349" s="18"/>
      <c r="AX2349" s="18"/>
      <c r="AY2349" s="18"/>
      <c r="AZ2349" s="18"/>
      <c r="BA2349" s="18"/>
      <c r="BB2349" s="18"/>
      <c r="BC2349" s="18"/>
      <c r="BD2349" s="18"/>
      <c r="BE2349" s="18"/>
      <c r="BF2349" s="18"/>
      <c r="BG2349" s="18"/>
    </row>
    <row r="2350" spans="49:59" ht="18" customHeight="1">
      <c r="AW2350" s="18"/>
      <c r="AX2350" s="18"/>
      <c r="AY2350" s="18"/>
      <c r="AZ2350" s="18"/>
      <c r="BA2350" s="18"/>
      <c r="BB2350" s="18"/>
      <c r="BC2350" s="18"/>
      <c r="BD2350" s="18"/>
      <c r="BE2350" s="18"/>
      <c r="BF2350" s="18"/>
      <c r="BG2350" s="18"/>
    </row>
    <row r="2351" spans="49:59" ht="18" customHeight="1">
      <c r="AW2351" s="18"/>
      <c r="AX2351" s="18"/>
      <c r="AY2351" s="18"/>
      <c r="AZ2351" s="18"/>
      <c r="BA2351" s="18"/>
      <c r="BB2351" s="18"/>
      <c r="BC2351" s="18"/>
      <c r="BD2351" s="18"/>
      <c r="BE2351" s="18"/>
      <c r="BF2351" s="18"/>
      <c r="BG2351" s="18"/>
    </row>
    <row r="2352" spans="49:59" ht="18" customHeight="1">
      <c r="AW2352" s="18"/>
      <c r="AX2352" s="18"/>
      <c r="AY2352" s="18"/>
      <c r="AZ2352" s="18"/>
      <c r="BA2352" s="18"/>
      <c r="BB2352" s="18"/>
      <c r="BC2352" s="18"/>
      <c r="BD2352" s="18"/>
      <c r="BE2352" s="18"/>
      <c r="BF2352" s="18"/>
      <c r="BG2352" s="18"/>
    </row>
    <row r="2353" spans="49:59" ht="18" customHeight="1">
      <c r="AW2353" s="18"/>
      <c r="AX2353" s="18"/>
      <c r="AY2353" s="18"/>
      <c r="AZ2353" s="18"/>
      <c r="BA2353" s="18"/>
      <c r="BB2353" s="18"/>
      <c r="BC2353" s="18"/>
      <c r="BD2353" s="18"/>
      <c r="BE2353" s="18"/>
      <c r="BF2353" s="18"/>
      <c r="BG2353" s="18"/>
    </row>
    <row r="2354" spans="49:59" ht="18" customHeight="1">
      <c r="AW2354" s="18"/>
      <c r="AX2354" s="18"/>
      <c r="AY2354" s="18"/>
      <c r="AZ2354" s="18"/>
      <c r="BA2354" s="18"/>
      <c r="BB2354" s="18"/>
      <c r="BC2354" s="18"/>
      <c r="BD2354" s="18"/>
      <c r="BE2354" s="18"/>
      <c r="BF2354" s="18"/>
      <c r="BG2354" s="18"/>
    </row>
    <row r="2355" spans="49:59" ht="18" customHeight="1">
      <c r="AW2355" s="18"/>
      <c r="AX2355" s="18"/>
      <c r="AY2355" s="18"/>
      <c r="AZ2355" s="18"/>
      <c r="BA2355" s="18"/>
      <c r="BB2355" s="18"/>
      <c r="BC2355" s="18"/>
      <c r="BD2355" s="18"/>
      <c r="BE2355" s="18"/>
      <c r="BF2355" s="18"/>
      <c r="BG2355" s="18"/>
    </row>
    <row r="2356" spans="49:59" ht="18" customHeight="1">
      <c r="AW2356" s="18"/>
      <c r="AX2356" s="18"/>
      <c r="AY2356" s="18"/>
      <c r="AZ2356" s="18"/>
      <c r="BA2356" s="18"/>
      <c r="BB2356" s="18"/>
      <c r="BC2356" s="18"/>
      <c r="BD2356" s="18"/>
      <c r="BE2356" s="18"/>
      <c r="BF2356" s="18"/>
      <c r="BG2356" s="18"/>
    </row>
    <row r="2357" spans="49:59" ht="18" customHeight="1">
      <c r="AW2357" s="18"/>
      <c r="AX2357" s="18"/>
      <c r="AY2357" s="18"/>
      <c r="AZ2357" s="18"/>
      <c r="BA2357" s="18"/>
      <c r="BB2357" s="18"/>
      <c r="BC2357" s="18"/>
      <c r="BD2357" s="18"/>
      <c r="BE2357" s="18"/>
      <c r="BF2357" s="18"/>
      <c r="BG2357" s="18"/>
    </row>
    <row r="2358" spans="49:59" ht="18" customHeight="1">
      <c r="AW2358" s="18"/>
      <c r="AX2358" s="18"/>
      <c r="AY2358" s="18"/>
      <c r="AZ2358" s="18"/>
      <c r="BA2358" s="18"/>
      <c r="BB2358" s="18"/>
      <c r="BC2358" s="18"/>
      <c r="BD2358" s="18"/>
      <c r="BE2358" s="18"/>
      <c r="BF2358" s="18"/>
      <c r="BG2358" s="18"/>
    </row>
    <row r="2359" spans="49:59" ht="18" customHeight="1">
      <c r="AW2359" s="18"/>
      <c r="AX2359" s="18"/>
      <c r="AY2359" s="18"/>
      <c r="AZ2359" s="18"/>
      <c r="BA2359" s="18"/>
      <c r="BB2359" s="18"/>
      <c r="BC2359" s="18"/>
      <c r="BD2359" s="18"/>
      <c r="BE2359" s="18"/>
      <c r="BF2359" s="18"/>
      <c r="BG2359" s="18"/>
    </row>
    <row r="2360" spans="49:59" ht="18" customHeight="1">
      <c r="AW2360" s="18"/>
      <c r="AX2360" s="18"/>
      <c r="AY2360" s="18"/>
      <c r="AZ2360" s="18"/>
      <c r="BA2360" s="18"/>
      <c r="BB2360" s="18"/>
      <c r="BC2360" s="18"/>
      <c r="BD2360" s="18"/>
      <c r="BE2360" s="18"/>
      <c r="BF2360" s="18"/>
      <c r="BG2360" s="18"/>
    </row>
    <row r="2361" spans="49:59" ht="18" customHeight="1">
      <c r="AW2361" s="18"/>
      <c r="AX2361" s="18"/>
      <c r="AY2361" s="18"/>
      <c r="AZ2361" s="18"/>
      <c r="BA2361" s="18"/>
      <c r="BB2361" s="18"/>
      <c r="BC2361" s="18"/>
      <c r="BD2361" s="18"/>
      <c r="BE2361" s="18"/>
      <c r="BF2361" s="18"/>
      <c r="BG2361" s="18"/>
    </row>
    <row r="2362" spans="49:59" ht="18" customHeight="1">
      <c r="AW2362" s="18"/>
      <c r="AX2362" s="18"/>
      <c r="AY2362" s="18"/>
      <c r="AZ2362" s="18"/>
      <c r="BA2362" s="18"/>
      <c r="BB2362" s="18"/>
      <c r="BC2362" s="18"/>
      <c r="BD2362" s="18"/>
      <c r="BE2362" s="18"/>
      <c r="BF2362" s="18"/>
      <c r="BG2362" s="18"/>
    </row>
    <row r="2363" spans="49:59" ht="18" customHeight="1">
      <c r="AW2363" s="18"/>
      <c r="AX2363" s="18"/>
      <c r="AY2363" s="18"/>
      <c r="AZ2363" s="18"/>
      <c r="BA2363" s="18"/>
      <c r="BB2363" s="18"/>
      <c r="BC2363" s="18"/>
      <c r="BD2363" s="18"/>
      <c r="BE2363" s="18"/>
      <c r="BF2363" s="18"/>
      <c r="BG2363" s="18"/>
    </row>
    <row r="2364" spans="49:59" ht="18" customHeight="1">
      <c r="AW2364" s="18"/>
      <c r="AX2364" s="18"/>
      <c r="AY2364" s="18"/>
      <c r="AZ2364" s="18"/>
      <c r="BA2364" s="18"/>
      <c r="BB2364" s="18"/>
      <c r="BC2364" s="18"/>
      <c r="BD2364" s="18"/>
      <c r="BE2364" s="18"/>
      <c r="BF2364" s="18"/>
      <c r="BG2364" s="18"/>
    </row>
    <row r="2365" spans="49:59" ht="18" customHeight="1">
      <c r="AW2365" s="18"/>
      <c r="AX2365" s="18"/>
      <c r="AY2365" s="18"/>
      <c r="AZ2365" s="18"/>
      <c r="BA2365" s="18"/>
      <c r="BB2365" s="18"/>
      <c r="BC2365" s="18"/>
      <c r="BD2365" s="18"/>
      <c r="BE2365" s="18"/>
      <c r="BF2365" s="18"/>
      <c r="BG2365" s="18"/>
    </row>
    <row r="2366" spans="49:59" ht="18" customHeight="1">
      <c r="AW2366" s="18"/>
      <c r="AX2366" s="18"/>
      <c r="AY2366" s="18"/>
      <c r="AZ2366" s="18"/>
      <c r="BA2366" s="18"/>
      <c r="BB2366" s="18"/>
      <c r="BC2366" s="18"/>
      <c r="BD2366" s="18"/>
      <c r="BE2366" s="18"/>
      <c r="BF2366" s="18"/>
      <c r="BG2366" s="18"/>
    </row>
    <row r="2367" spans="49:59" ht="18" customHeight="1">
      <c r="AW2367" s="18"/>
      <c r="AX2367" s="18"/>
      <c r="AY2367" s="18"/>
      <c r="AZ2367" s="18"/>
      <c r="BA2367" s="18"/>
      <c r="BB2367" s="18"/>
      <c r="BC2367" s="18"/>
      <c r="BD2367" s="18"/>
      <c r="BE2367" s="18"/>
      <c r="BF2367" s="18"/>
      <c r="BG2367" s="18"/>
    </row>
    <row r="2368" spans="49:59" ht="18" customHeight="1">
      <c r="AW2368" s="18"/>
      <c r="AX2368" s="18"/>
      <c r="AY2368" s="18"/>
      <c r="AZ2368" s="18"/>
      <c r="BA2368" s="18"/>
      <c r="BB2368" s="18"/>
      <c r="BC2368" s="18"/>
      <c r="BD2368" s="18"/>
      <c r="BE2368" s="18"/>
      <c r="BF2368" s="18"/>
      <c r="BG2368" s="18"/>
    </row>
    <row r="2369" spans="49:59" ht="18" customHeight="1">
      <c r="AW2369" s="18"/>
      <c r="AX2369" s="18"/>
      <c r="AY2369" s="18"/>
      <c r="AZ2369" s="18"/>
      <c r="BA2369" s="18"/>
      <c r="BB2369" s="18"/>
      <c r="BC2369" s="18"/>
      <c r="BD2369" s="18"/>
      <c r="BE2369" s="18"/>
      <c r="BF2369" s="18"/>
      <c r="BG2369" s="18"/>
    </row>
    <row r="2370" spans="49:59" ht="18" customHeight="1">
      <c r="AW2370" s="18"/>
      <c r="AX2370" s="18"/>
      <c r="AY2370" s="18"/>
      <c r="AZ2370" s="18"/>
      <c r="BA2370" s="18"/>
      <c r="BB2370" s="18"/>
      <c r="BC2370" s="18"/>
      <c r="BD2370" s="18"/>
      <c r="BE2370" s="18"/>
      <c r="BF2370" s="18"/>
      <c r="BG2370" s="18"/>
    </row>
    <row r="2371" spans="49:59" ht="18" customHeight="1">
      <c r="AW2371" s="18"/>
      <c r="AX2371" s="18"/>
      <c r="AY2371" s="18"/>
      <c r="AZ2371" s="18"/>
      <c r="BA2371" s="18"/>
      <c r="BB2371" s="18"/>
      <c r="BC2371" s="18"/>
      <c r="BD2371" s="18"/>
      <c r="BE2371" s="18"/>
      <c r="BF2371" s="18"/>
      <c r="BG2371" s="18"/>
    </row>
    <row r="2372" spans="49:59" ht="18" customHeight="1">
      <c r="AW2372" s="18"/>
      <c r="AX2372" s="18"/>
      <c r="AY2372" s="18"/>
      <c r="AZ2372" s="18"/>
      <c r="BA2372" s="18"/>
      <c r="BB2372" s="18"/>
      <c r="BC2372" s="18"/>
      <c r="BD2372" s="18"/>
      <c r="BE2372" s="18"/>
      <c r="BF2372" s="18"/>
      <c r="BG2372" s="18"/>
    </row>
    <row r="2373" spans="49:59" ht="18" customHeight="1">
      <c r="AW2373" s="18"/>
      <c r="AX2373" s="18"/>
      <c r="AY2373" s="18"/>
      <c r="AZ2373" s="18"/>
      <c r="BA2373" s="18"/>
      <c r="BB2373" s="18"/>
      <c r="BC2373" s="18"/>
      <c r="BD2373" s="18"/>
      <c r="BE2373" s="18"/>
      <c r="BF2373" s="18"/>
      <c r="BG2373" s="18"/>
    </row>
    <row r="2374" spans="49:59" ht="18" customHeight="1">
      <c r="AW2374" s="18"/>
      <c r="AX2374" s="18"/>
      <c r="AY2374" s="18"/>
      <c r="AZ2374" s="18"/>
      <c r="BA2374" s="18"/>
      <c r="BB2374" s="18"/>
      <c r="BC2374" s="18"/>
      <c r="BD2374" s="18"/>
      <c r="BE2374" s="18"/>
      <c r="BF2374" s="18"/>
      <c r="BG2374" s="18"/>
    </row>
    <row r="2375" spans="49:59" ht="18" customHeight="1">
      <c r="AW2375" s="18"/>
      <c r="AX2375" s="18"/>
      <c r="AY2375" s="18"/>
      <c r="AZ2375" s="18"/>
      <c r="BA2375" s="18"/>
      <c r="BB2375" s="18"/>
      <c r="BC2375" s="18"/>
      <c r="BD2375" s="18"/>
      <c r="BE2375" s="18"/>
      <c r="BF2375" s="18"/>
      <c r="BG2375" s="18"/>
    </row>
    <row r="2376" spans="49:59" ht="18" customHeight="1">
      <c r="AW2376" s="18"/>
      <c r="AX2376" s="18"/>
      <c r="AY2376" s="18"/>
      <c r="AZ2376" s="18"/>
      <c r="BA2376" s="18"/>
      <c r="BB2376" s="18"/>
      <c r="BC2376" s="18"/>
      <c r="BD2376" s="18"/>
      <c r="BE2376" s="18"/>
      <c r="BF2376" s="18"/>
      <c r="BG2376" s="18"/>
    </row>
    <row r="2377" spans="49:59" ht="18" customHeight="1">
      <c r="AW2377" s="18"/>
      <c r="AX2377" s="18"/>
      <c r="AY2377" s="18"/>
      <c r="AZ2377" s="18"/>
      <c r="BA2377" s="18"/>
      <c r="BB2377" s="18"/>
      <c r="BC2377" s="18"/>
      <c r="BD2377" s="18"/>
      <c r="BE2377" s="18"/>
      <c r="BF2377" s="18"/>
      <c r="BG2377" s="18"/>
    </row>
    <row r="2378" spans="49:59" ht="18" customHeight="1">
      <c r="AW2378" s="18"/>
      <c r="AX2378" s="18"/>
      <c r="AY2378" s="18"/>
      <c r="AZ2378" s="18"/>
      <c r="BA2378" s="18"/>
      <c r="BB2378" s="18"/>
      <c r="BC2378" s="18"/>
      <c r="BD2378" s="18"/>
      <c r="BE2378" s="18"/>
      <c r="BF2378" s="18"/>
      <c r="BG2378" s="18"/>
    </row>
    <row r="2379" spans="49:59" ht="18" customHeight="1">
      <c r="AW2379" s="18"/>
      <c r="AX2379" s="18"/>
      <c r="AY2379" s="18"/>
      <c r="AZ2379" s="18"/>
      <c r="BA2379" s="18"/>
      <c r="BB2379" s="18"/>
      <c r="BC2379" s="18"/>
      <c r="BD2379" s="18"/>
      <c r="BE2379" s="18"/>
      <c r="BF2379" s="18"/>
      <c r="BG2379" s="18"/>
    </row>
    <row r="2380" spans="49:59" ht="18" customHeight="1">
      <c r="AW2380" s="18"/>
      <c r="AX2380" s="18"/>
      <c r="AY2380" s="18"/>
      <c r="AZ2380" s="18"/>
      <c r="BA2380" s="18"/>
      <c r="BB2380" s="18"/>
      <c r="BC2380" s="18"/>
      <c r="BD2380" s="18"/>
      <c r="BE2380" s="18"/>
      <c r="BF2380" s="18"/>
      <c r="BG2380" s="18"/>
    </row>
    <row r="2381" spans="49:59" ht="18" customHeight="1">
      <c r="AW2381" s="18"/>
      <c r="AX2381" s="18"/>
      <c r="AY2381" s="18"/>
      <c r="AZ2381" s="18"/>
      <c r="BA2381" s="18"/>
      <c r="BB2381" s="18"/>
      <c r="BC2381" s="18"/>
      <c r="BD2381" s="18"/>
      <c r="BE2381" s="18"/>
      <c r="BF2381" s="18"/>
      <c r="BG2381" s="18"/>
    </row>
    <row r="2382" spans="49:59" ht="18" customHeight="1">
      <c r="AW2382" s="18"/>
      <c r="AX2382" s="18"/>
      <c r="AY2382" s="18"/>
      <c r="AZ2382" s="18"/>
      <c r="BA2382" s="18"/>
      <c r="BB2382" s="18"/>
      <c r="BC2382" s="18"/>
      <c r="BD2382" s="18"/>
      <c r="BE2382" s="18"/>
      <c r="BF2382" s="18"/>
      <c r="BG2382" s="18"/>
    </row>
    <row r="2383" spans="49:59" ht="18" customHeight="1">
      <c r="AW2383" s="18"/>
      <c r="AX2383" s="18"/>
      <c r="AY2383" s="18"/>
      <c r="AZ2383" s="18"/>
      <c r="BA2383" s="18"/>
      <c r="BB2383" s="18"/>
      <c r="BC2383" s="18"/>
      <c r="BD2383" s="18"/>
      <c r="BE2383" s="18"/>
      <c r="BF2383" s="18"/>
      <c r="BG2383" s="18"/>
    </row>
    <row r="2384" spans="49:59" ht="18" customHeight="1">
      <c r="AW2384" s="18"/>
      <c r="AX2384" s="18"/>
      <c r="AY2384" s="18"/>
      <c r="AZ2384" s="18"/>
      <c r="BA2384" s="18"/>
      <c r="BB2384" s="18"/>
      <c r="BC2384" s="18"/>
      <c r="BD2384" s="18"/>
      <c r="BE2384" s="18"/>
      <c r="BF2384" s="18"/>
      <c r="BG2384" s="18"/>
    </row>
    <row r="2385" spans="49:59" ht="18" customHeight="1">
      <c r="AW2385" s="18"/>
      <c r="AX2385" s="18"/>
      <c r="AY2385" s="18"/>
      <c r="AZ2385" s="18"/>
      <c r="BA2385" s="18"/>
      <c r="BB2385" s="18"/>
      <c r="BC2385" s="18"/>
      <c r="BD2385" s="18"/>
      <c r="BE2385" s="18"/>
      <c r="BF2385" s="18"/>
      <c r="BG2385" s="18"/>
    </row>
    <row r="2386" spans="49:59" ht="18" customHeight="1">
      <c r="AW2386" s="18"/>
      <c r="AX2386" s="18"/>
      <c r="AY2386" s="18"/>
      <c r="AZ2386" s="18"/>
      <c r="BA2386" s="18"/>
      <c r="BB2386" s="18"/>
      <c r="BC2386" s="18"/>
      <c r="BD2386" s="18"/>
      <c r="BE2386" s="18"/>
      <c r="BF2386" s="18"/>
      <c r="BG2386" s="18"/>
    </row>
    <row r="2387" spans="49:59" ht="18" customHeight="1">
      <c r="AW2387" s="18"/>
      <c r="AX2387" s="18"/>
      <c r="AY2387" s="18"/>
      <c r="AZ2387" s="18"/>
      <c r="BA2387" s="18"/>
      <c r="BB2387" s="18"/>
      <c r="BC2387" s="18"/>
      <c r="BD2387" s="18"/>
      <c r="BE2387" s="18"/>
      <c r="BF2387" s="18"/>
      <c r="BG2387" s="18"/>
    </row>
    <row r="2388" spans="49:59" ht="18" customHeight="1">
      <c r="AW2388" s="18"/>
      <c r="AX2388" s="18"/>
      <c r="AY2388" s="18"/>
      <c r="AZ2388" s="18"/>
      <c r="BA2388" s="18"/>
      <c r="BB2388" s="18"/>
      <c r="BC2388" s="18"/>
      <c r="BD2388" s="18"/>
      <c r="BE2388" s="18"/>
      <c r="BF2388" s="18"/>
      <c r="BG2388" s="18"/>
    </row>
    <row r="2389" spans="49:59" ht="18" customHeight="1">
      <c r="AW2389" s="18"/>
      <c r="AX2389" s="18"/>
      <c r="AY2389" s="18"/>
      <c r="AZ2389" s="18"/>
      <c r="BA2389" s="18"/>
      <c r="BB2389" s="18"/>
      <c r="BC2389" s="18"/>
      <c r="BD2389" s="18"/>
      <c r="BE2389" s="18"/>
      <c r="BF2389" s="18"/>
      <c r="BG2389" s="18"/>
    </row>
    <row r="2390" spans="49:59" ht="18" customHeight="1">
      <c r="AW2390" s="18"/>
      <c r="AX2390" s="18"/>
      <c r="AY2390" s="18"/>
      <c r="AZ2390" s="18"/>
      <c r="BA2390" s="18"/>
      <c r="BB2390" s="18"/>
      <c r="BC2390" s="18"/>
      <c r="BD2390" s="18"/>
      <c r="BE2390" s="18"/>
      <c r="BF2390" s="18"/>
      <c r="BG2390" s="18"/>
    </row>
    <row r="2391" spans="49:59" ht="18" customHeight="1">
      <c r="AW2391" s="18"/>
      <c r="AX2391" s="18"/>
      <c r="AY2391" s="18"/>
      <c r="AZ2391" s="18"/>
      <c r="BA2391" s="18"/>
      <c r="BB2391" s="18"/>
      <c r="BC2391" s="18"/>
      <c r="BD2391" s="18"/>
      <c r="BE2391" s="18"/>
      <c r="BF2391" s="18"/>
      <c r="BG2391" s="18"/>
    </row>
    <row r="2392" spans="49:59" ht="18" customHeight="1">
      <c r="AW2392" s="18"/>
      <c r="AX2392" s="18"/>
      <c r="AY2392" s="18"/>
      <c r="AZ2392" s="18"/>
      <c r="BA2392" s="18"/>
      <c r="BB2392" s="18"/>
      <c r="BC2392" s="18"/>
      <c r="BD2392" s="18"/>
      <c r="BE2392" s="18"/>
      <c r="BF2392" s="18"/>
      <c r="BG2392" s="18"/>
    </row>
    <row r="2393" spans="49:59" ht="18" customHeight="1">
      <c r="AW2393" s="18"/>
      <c r="AX2393" s="18"/>
      <c r="AY2393" s="18"/>
      <c r="AZ2393" s="18"/>
      <c r="BA2393" s="18"/>
      <c r="BB2393" s="18"/>
      <c r="BC2393" s="18"/>
      <c r="BD2393" s="18"/>
      <c r="BE2393" s="18"/>
      <c r="BF2393" s="18"/>
      <c r="BG2393" s="18"/>
    </row>
    <row r="2394" spans="49:59" ht="18" customHeight="1">
      <c r="AW2394" s="18"/>
      <c r="AX2394" s="18"/>
      <c r="AY2394" s="18"/>
      <c r="AZ2394" s="18"/>
      <c r="BA2394" s="18"/>
      <c r="BB2394" s="18"/>
      <c r="BC2394" s="18"/>
      <c r="BD2394" s="18"/>
      <c r="BE2394" s="18"/>
      <c r="BF2394" s="18"/>
      <c r="BG2394" s="18"/>
    </row>
    <row r="2395" spans="49:59" ht="18" customHeight="1">
      <c r="AW2395" s="18"/>
      <c r="AX2395" s="18"/>
      <c r="AY2395" s="18"/>
      <c r="AZ2395" s="18"/>
      <c r="BA2395" s="18"/>
      <c r="BB2395" s="18"/>
      <c r="BC2395" s="18"/>
      <c r="BD2395" s="18"/>
      <c r="BE2395" s="18"/>
      <c r="BF2395" s="18"/>
      <c r="BG2395" s="18"/>
    </row>
    <row r="2396" spans="49:59" ht="18" customHeight="1">
      <c r="AW2396" s="18"/>
      <c r="AX2396" s="18"/>
      <c r="AY2396" s="18"/>
      <c r="AZ2396" s="18"/>
      <c r="BA2396" s="18"/>
      <c r="BB2396" s="18"/>
      <c r="BC2396" s="18"/>
      <c r="BD2396" s="18"/>
      <c r="BE2396" s="18"/>
      <c r="BF2396" s="18"/>
      <c r="BG2396" s="18"/>
    </row>
    <row r="2397" spans="49:59" ht="18" customHeight="1">
      <c r="AW2397" s="18"/>
      <c r="AX2397" s="18"/>
      <c r="AY2397" s="18"/>
      <c r="AZ2397" s="18"/>
      <c r="BA2397" s="18"/>
      <c r="BB2397" s="18"/>
      <c r="BC2397" s="18"/>
      <c r="BD2397" s="18"/>
      <c r="BE2397" s="18"/>
      <c r="BF2397" s="18"/>
      <c r="BG2397" s="18"/>
    </row>
    <row r="2398" spans="49:59" ht="18" customHeight="1">
      <c r="AW2398" s="18"/>
      <c r="AX2398" s="18"/>
      <c r="AY2398" s="18"/>
      <c r="AZ2398" s="18"/>
      <c r="BA2398" s="18"/>
      <c r="BB2398" s="18"/>
      <c r="BC2398" s="18"/>
      <c r="BD2398" s="18"/>
      <c r="BE2398" s="18"/>
      <c r="BF2398" s="18"/>
      <c r="BG2398" s="18"/>
    </row>
    <row r="2399" spans="49:59" ht="18" customHeight="1">
      <c r="AW2399" s="18"/>
      <c r="AX2399" s="18"/>
      <c r="AY2399" s="18"/>
      <c r="AZ2399" s="18"/>
      <c r="BA2399" s="18"/>
      <c r="BB2399" s="18"/>
      <c r="BC2399" s="18"/>
      <c r="BD2399" s="18"/>
      <c r="BE2399" s="18"/>
      <c r="BF2399" s="18"/>
      <c r="BG2399" s="18"/>
    </row>
    <row r="2400" spans="49:59" ht="18" customHeight="1">
      <c r="AW2400" s="18"/>
      <c r="AX2400" s="18"/>
      <c r="AY2400" s="18"/>
      <c r="AZ2400" s="18"/>
      <c r="BA2400" s="18"/>
      <c r="BB2400" s="18"/>
      <c r="BC2400" s="18"/>
      <c r="BD2400" s="18"/>
      <c r="BE2400" s="18"/>
      <c r="BF2400" s="18"/>
      <c r="BG2400" s="18"/>
    </row>
    <row r="2401" spans="49:59" ht="18" customHeight="1">
      <c r="AW2401" s="18"/>
      <c r="AX2401" s="18"/>
      <c r="AY2401" s="18"/>
      <c r="AZ2401" s="18"/>
      <c r="BA2401" s="18"/>
      <c r="BB2401" s="18"/>
      <c r="BC2401" s="18"/>
      <c r="BD2401" s="18"/>
      <c r="BE2401" s="18"/>
      <c r="BF2401" s="18"/>
      <c r="BG2401" s="18"/>
    </row>
    <row r="2402" spans="49:59" ht="18" customHeight="1">
      <c r="AW2402" s="18"/>
      <c r="AX2402" s="18"/>
      <c r="AY2402" s="18"/>
      <c r="AZ2402" s="18"/>
      <c r="BA2402" s="18"/>
      <c r="BB2402" s="18"/>
      <c r="BC2402" s="18"/>
      <c r="BD2402" s="18"/>
      <c r="BE2402" s="18"/>
      <c r="BF2402" s="18"/>
      <c r="BG2402" s="18"/>
    </row>
    <row r="2403" spans="49:59" ht="18" customHeight="1">
      <c r="AW2403" s="18"/>
      <c r="AX2403" s="18"/>
      <c r="AY2403" s="18"/>
      <c r="AZ2403" s="18"/>
      <c r="BA2403" s="18"/>
      <c r="BB2403" s="18"/>
      <c r="BC2403" s="18"/>
      <c r="BD2403" s="18"/>
      <c r="BE2403" s="18"/>
      <c r="BF2403" s="18"/>
      <c r="BG2403" s="18"/>
    </row>
    <row r="2404" spans="49:59" ht="18" customHeight="1">
      <c r="AW2404" s="18"/>
      <c r="AX2404" s="18"/>
      <c r="AY2404" s="18"/>
      <c r="AZ2404" s="18"/>
      <c r="BA2404" s="18"/>
      <c r="BB2404" s="18"/>
      <c r="BC2404" s="18"/>
      <c r="BD2404" s="18"/>
      <c r="BE2404" s="18"/>
      <c r="BF2404" s="18"/>
      <c r="BG2404" s="18"/>
    </row>
    <row r="2405" spans="49:59" ht="18" customHeight="1">
      <c r="AW2405" s="18"/>
      <c r="AX2405" s="18"/>
      <c r="AY2405" s="18"/>
      <c r="AZ2405" s="18"/>
      <c r="BA2405" s="18"/>
      <c r="BB2405" s="18"/>
      <c r="BC2405" s="18"/>
      <c r="BD2405" s="18"/>
      <c r="BE2405" s="18"/>
      <c r="BF2405" s="18"/>
      <c r="BG2405" s="18"/>
    </row>
    <row r="2406" spans="49:59" ht="18" customHeight="1">
      <c r="AW2406" s="18"/>
      <c r="AX2406" s="18"/>
      <c r="AY2406" s="18"/>
      <c r="AZ2406" s="18"/>
      <c r="BA2406" s="18"/>
      <c r="BB2406" s="18"/>
      <c r="BC2406" s="18"/>
      <c r="BD2406" s="18"/>
      <c r="BE2406" s="18"/>
      <c r="BF2406" s="18"/>
      <c r="BG2406" s="18"/>
    </row>
    <row r="2407" spans="49:59" ht="18" customHeight="1">
      <c r="AW2407" s="18"/>
      <c r="AX2407" s="18"/>
      <c r="AY2407" s="18"/>
      <c r="AZ2407" s="18"/>
      <c r="BA2407" s="18"/>
      <c r="BB2407" s="18"/>
      <c r="BC2407" s="18"/>
      <c r="BD2407" s="18"/>
      <c r="BE2407" s="18"/>
      <c r="BF2407" s="18"/>
      <c r="BG2407" s="18"/>
    </row>
    <row r="2408" spans="49:59" ht="18" customHeight="1">
      <c r="AW2408" s="18"/>
      <c r="AX2408" s="18"/>
      <c r="AY2408" s="18"/>
      <c r="AZ2408" s="18"/>
      <c r="BA2408" s="18"/>
      <c r="BB2408" s="18"/>
      <c r="BC2408" s="18"/>
      <c r="BD2408" s="18"/>
      <c r="BE2408" s="18"/>
      <c r="BF2408" s="18"/>
      <c r="BG2408" s="18"/>
    </row>
    <row r="2409" spans="49:59" ht="18" customHeight="1">
      <c r="AW2409" s="18"/>
      <c r="AX2409" s="18"/>
      <c r="AY2409" s="18"/>
      <c r="AZ2409" s="18"/>
      <c r="BA2409" s="18"/>
      <c r="BB2409" s="18"/>
      <c r="BC2409" s="18"/>
      <c r="BD2409" s="18"/>
      <c r="BE2409" s="18"/>
      <c r="BF2409" s="18"/>
      <c r="BG2409" s="18"/>
    </row>
    <row r="2410" spans="49:59" ht="18" customHeight="1">
      <c r="AW2410" s="18"/>
      <c r="AX2410" s="18"/>
      <c r="AY2410" s="18"/>
      <c r="AZ2410" s="18"/>
      <c r="BA2410" s="18"/>
      <c r="BB2410" s="18"/>
      <c r="BC2410" s="18"/>
      <c r="BD2410" s="18"/>
      <c r="BE2410" s="18"/>
      <c r="BF2410" s="18"/>
      <c r="BG2410" s="18"/>
    </row>
    <row r="2411" spans="49:59" ht="18" customHeight="1">
      <c r="AW2411" s="18"/>
      <c r="AX2411" s="18"/>
      <c r="AY2411" s="18"/>
      <c r="AZ2411" s="18"/>
      <c r="BA2411" s="18"/>
      <c r="BB2411" s="18"/>
      <c r="BC2411" s="18"/>
      <c r="BD2411" s="18"/>
      <c r="BE2411" s="18"/>
      <c r="BF2411" s="18"/>
      <c r="BG2411" s="18"/>
    </row>
    <row r="2412" spans="49:59" ht="18" customHeight="1">
      <c r="AW2412" s="18"/>
      <c r="AX2412" s="18"/>
      <c r="AY2412" s="18"/>
      <c r="AZ2412" s="18"/>
      <c r="BA2412" s="18"/>
      <c r="BB2412" s="18"/>
      <c r="BC2412" s="18"/>
      <c r="BD2412" s="18"/>
      <c r="BE2412" s="18"/>
      <c r="BF2412" s="18"/>
      <c r="BG2412" s="18"/>
    </row>
    <row r="2413" spans="49:59" ht="18" customHeight="1">
      <c r="AW2413" s="18"/>
      <c r="AX2413" s="18"/>
      <c r="AY2413" s="18"/>
      <c r="AZ2413" s="18"/>
      <c r="BA2413" s="18"/>
      <c r="BB2413" s="18"/>
      <c r="BC2413" s="18"/>
      <c r="BD2413" s="18"/>
      <c r="BE2413" s="18"/>
      <c r="BF2413" s="18"/>
      <c r="BG2413" s="18"/>
    </row>
    <row r="2414" spans="49:59" ht="18" customHeight="1">
      <c r="AW2414" s="18"/>
      <c r="AX2414" s="18"/>
      <c r="AY2414" s="18"/>
      <c r="AZ2414" s="18"/>
      <c r="BA2414" s="18"/>
      <c r="BB2414" s="18"/>
      <c r="BC2414" s="18"/>
      <c r="BD2414" s="18"/>
      <c r="BE2414" s="18"/>
      <c r="BF2414" s="18"/>
      <c r="BG2414" s="18"/>
    </row>
    <row r="2415" spans="49:59" ht="18" customHeight="1">
      <c r="AW2415" s="18"/>
      <c r="AX2415" s="18"/>
      <c r="AY2415" s="18"/>
      <c r="AZ2415" s="18"/>
      <c r="BA2415" s="18"/>
      <c r="BB2415" s="18"/>
      <c r="BC2415" s="18"/>
      <c r="BD2415" s="18"/>
      <c r="BE2415" s="18"/>
      <c r="BF2415" s="18"/>
      <c r="BG2415" s="18"/>
    </row>
    <row r="2416" spans="49:59" ht="18" customHeight="1">
      <c r="AW2416" s="18"/>
      <c r="AX2416" s="18"/>
      <c r="AY2416" s="18"/>
      <c r="AZ2416" s="18"/>
      <c r="BA2416" s="18"/>
      <c r="BB2416" s="18"/>
      <c r="BC2416" s="18"/>
      <c r="BD2416" s="18"/>
      <c r="BE2416" s="18"/>
      <c r="BF2416" s="18"/>
      <c r="BG2416" s="18"/>
    </row>
    <row r="2417" spans="49:59" ht="18" customHeight="1">
      <c r="AW2417" s="18"/>
      <c r="AX2417" s="18"/>
      <c r="AY2417" s="18"/>
      <c r="AZ2417" s="18"/>
      <c r="BA2417" s="18"/>
      <c r="BB2417" s="18"/>
      <c r="BC2417" s="18"/>
      <c r="BD2417" s="18"/>
      <c r="BE2417" s="18"/>
      <c r="BF2417" s="18"/>
      <c r="BG2417" s="18"/>
    </row>
    <row r="2418" spans="49:59" ht="18" customHeight="1">
      <c r="AW2418" s="18"/>
      <c r="AX2418" s="18"/>
      <c r="AY2418" s="18"/>
      <c r="AZ2418" s="18"/>
      <c r="BA2418" s="18"/>
      <c r="BB2418" s="18"/>
      <c r="BC2418" s="18"/>
      <c r="BD2418" s="18"/>
      <c r="BE2418" s="18"/>
      <c r="BF2418" s="18"/>
      <c r="BG2418" s="18"/>
    </row>
    <row r="2419" spans="49:59" ht="18" customHeight="1">
      <c r="AW2419" s="18"/>
      <c r="AX2419" s="18"/>
      <c r="AY2419" s="18"/>
      <c r="AZ2419" s="18"/>
      <c r="BA2419" s="18"/>
      <c r="BB2419" s="18"/>
      <c r="BC2419" s="18"/>
      <c r="BD2419" s="18"/>
      <c r="BE2419" s="18"/>
      <c r="BF2419" s="18"/>
      <c r="BG2419" s="18"/>
    </row>
    <row r="2420" spans="49:59" ht="18" customHeight="1">
      <c r="AW2420" s="18"/>
      <c r="AX2420" s="18"/>
      <c r="AY2420" s="18"/>
      <c r="AZ2420" s="18"/>
      <c r="BA2420" s="18"/>
      <c r="BB2420" s="18"/>
      <c r="BC2420" s="18"/>
      <c r="BD2420" s="18"/>
      <c r="BE2420" s="18"/>
      <c r="BF2420" s="18"/>
      <c r="BG2420" s="18"/>
    </row>
    <row r="2421" spans="49:59" ht="18" customHeight="1">
      <c r="AW2421" s="18"/>
      <c r="AX2421" s="18"/>
      <c r="AY2421" s="18"/>
      <c r="AZ2421" s="18"/>
      <c r="BA2421" s="18"/>
      <c r="BB2421" s="18"/>
      <c r="BC2421" s="18"/>
      <c r="BD2421" s="18"/>
      <c r="BE2421" s="18"/>
      <c r="BF2421" s="18"/>
      <c r="BG2421" s="18"/>
    </row>
    <row r="2422" spans="49:59" ht="18" customHeight="1">
      <c r="AW2422" s="18"/>
      <c r="AX2422" s="18"/>
      <c r="AY2422" s="18"/>
      <c r="AZ2422" s="18"/>
      <c r="BA2422" s="18"/>
      <c r="BB2422" s="18"/>
      <c r="BC2422" s="18"/>
      <c r="BD2422" s="18"/>
      <c r="BE2422" s="18"/>
      <c r="BF2422" s="18"/>
      <c r="BG2422" s="18"/>
    </row>
    <row r="2423" spans="49:59" ht="18" customHeight="1">
      <c r="AW2423" s="18"/>
      <c r="AX2423" s="18"/>
      <c r="AY2423" s="18"/>
      <c r="AZ2423" s="18"/>
      <c r="BA2423" s="18"/>
      <c r="BB2423" s="18"/>
      <c r="BC2423" s="18"/>
      <c r="BD2423" s="18"/>
      <c r="BE2423" s="18"/>
      <c r="BF2423" s="18"/>
      <c r="BG2423" s="18"/>
    </row>
    <row r="2424" spans="49:59" ht="18" customHeight="1">
      <c r="AW2424" s="18"/>
      <c r="AX2424" s="18"/>
      <c r="AY2424" s="18"/>
      <c r="AZ2424" s="18"/>
      <c r="BA2424" s="18"/>
      <c r="BB2424" s="18"/>
      <c r="BC2424" s="18"/>
      <c r="BD2424" s="18"/>
      <c r="BE2424" s="18"/>
      <c r="BF2424" s="18"/>
      <c r="BG2424" s="18"/>
    </row>
    <row r="2425" spans="49:59" ht="18" customHeight="1">
      <c r="AW2425" s="18"/>
      <c r="AX2425" s="18"/>
      <c r="AY2425" s="18"/>
      <c r="AZ2425" s="18"/>
      <c r="BA2425" s="18"/>
      <c r="BB2425" s="18"/>
      <c r="BC2425" s="18"/>
      <c r="BD2425" s="18"/>
      <c r="BE2425" s="18"/>
      <c r="BF2425" s="18"/>
      <c r="BG2425" s="18"/>
    </row>
    <row r="2426" spans="49:59" ht="18" customHeight="1">
      <c r="AW2426" s="18"/>
      <c r="AX2426" s="18"/>
      <c r="AY2426" s="18"/>
      <c r="AZ2426" s="18"/>
      <c r="BA2426" s="18"/>
      <c r="BB2426" s="18"/>
      <c r="BC2426" s="18"/>
      <c r="BD2426" s="18"/>
      <c r="BE2426" s="18"/>
      <c r="BF2426" s="18"/>
      <c r="BG2426" s="18"/>
    </row>
    <row r="2427" spans="49:59" ht="18" customHeight="1">
      <c r="AW2427" s="18"/>
      <c r="AX2427" s="18"/>
      <c r="AY2427" s="18"/>
      <c r="AZ2427" s="18"/>
      <c r="BA2427" s="18"/>
      <c r="BB2427" s="18"/>
      <c r="BC2427" s="18"/>
      <c r="BD2427" s="18"/>
      <c r="BE2427" s="18"/>
      <c r="BF2427" s="18"/>
      <c r="BG2427" s="18"/>
    </row>
    <row r="2428" spans="49:59" ht="18" customHeight="1">
      <c r="AW2428" s="18"/>
      <c r="AX2428" s="18"/>
      <c r="AY2428" s="18"/>
      <c r="AZ2428" s="18"/>
      <c r="BA2428" s="18"/>
      <c r="BB2428" s="18"/>
      <c r="BC2428" s="18"/>
      <c r="BD2428" s="18"/>
      <c r="BE2428" s="18"/>
      <c r="BF2428" s="18"/>
      <c r="BG2428" s="18"/>
    </row>
    <row r="2429" spans="49:59" ht="18" customHeight="1">
      <c r="AW2429" s="73"/>
      <c r="AX2429" s="73"/>
      <c r="AY2429" s="73"/>
      <c r="AZ2429" s="73"/>
      <c r="BA2429" s="73"/>
      <c r="BB2429" s="73"/>
      <c r="BC2429" s="73"/>
      <c r="BD2429" s="73"/>
      <c r="BE2429" s="73"/>
      <c r="BF2429" s="73"/>
      <c r="BG2429" s="18"/>
    </row>
    <row r="2430" spans="49:59" ht="18" customHeight="1">
      <c r="AW2430" s="18"/>
      <c r="AX2430" s="18"/>
      <c r="AY2430" s="18"/>
      <c r="AZ2430" s="18"/>
      <c r="BA2430" s="18"/>
      <c r="BB2430" s="18"/>
      <c r="BC2430" s="18"/>
      <c r="BD2430" s="18"/>
      <c r="BE2430" s="18"/>
      <c r="BF2430" s="18"/>
      <c r="BG2430" s="18"/>
    </row>
    <row r="2431" spans="49:59" ht="18" customHeight="1">
      <c r="AW2431" s="18"/>
      <c r="AX2431" s="18"/>
      <c r="AY2431" s="18"/>
      <c r="AZ2431" s="18"/>
      <c r="BA2431" s="18"/>
      <c r="BB2431" s="18"/>
      <c r="BC2431" s="18"/>
      <c r="BD2431" s="18"/>
      <c r="BE2431" s="18"/>
      <c r="BF2431" s="18"/>
      <c r="BG2431" s="18"/>
    </row>
    <row r="2432" spans="49:59" ht="18" customHeight="1">
      <c r="AW2432" s="18"/>
      <c r="AX2432" s="18"/>
      <c r="AY2432" s="18"/>
      <c r="AZ2432" s="18"/>
      <c r="BA2432" s="18"/>
      <c r="BB2432" s="18"/>
      <c r="BC2432" s="18"/>
      <c r="BD2432" s="18"/>
      <c r="BE2432" s="18"/>
      <c r="BF2432" s="18"/>
      <c r="BG2432" s="18"/>
    </row>
    <row r="2433" spans="49:59" ht="18" customHeight="1">
      <c r="AW2433" s="18"/>
      <c r="AX2433" s="18"/>
      <c r="AY2433" s="18"/>
      <c r="AZ2433" s="18"/>
      <c r="BA2433" s="18"/>
      <c r="BB2433" s="18"/>
      <c r="BC2433" s="18"/>
      <c r="BD2433" s="18"/>
      <c r="BE2433" s="18"/>
      <c r="BF2433" s="18"/>
      <c r="BG2433" s="18"/>
    </row>
    <row r="2434" spans="49:59" ht="18" customHeight="1">
      <c r="AW2434" s="18"/>
      <c r="AX2434" s="18"/>
      <c r="AY2434" s="18"/>
      <c r="AZ2434" s="18"/>
      <c r="BA2434" s="18"/>
      <c r="BB2434" s="18"/>
      <c r="BC2434" s="18"/>
      <c r="BD2434" s="18"/>
      <c r="BE2434" s="18"/>
      <c r="BF2434" s="18"/>
      <c r="BG2434" s="18"/>
    </row>
    <row r="2435" spans="49:59" ht="18" customHeight="1">
      <c r="AW2435" s="18"/>
      <c r="AX2435" s="18"/>
      <c r="AY2435" s="18"/>
      <c r="AZ2435" s="18"/>
      <c r="BA2435" s="18"/>
      <c r="BB2435" s="18"/>
      <c r="BC2435" s="18"/>
      <c r="BD2435" s="18"/>
      <c r="BE2435" s="18"/>
      <c r="BF2435" s="18"/>
      <c r="BG2435" s="18"/>
    </row>
    <row r="2436" spans="49:59" ht="18" customHeight="1">
      <c r="AW2436" s="18"/>
      <c r="AX2436" s="18"/>
      <c r="AY2436" s="18"/>
      <c r="AZ2436" s="18"/>
      <c r="BA2436" s="18"/>
      <c r="BB2436" s="18"/>
      <c r="BC2436" s="18"/>
      <c r="BD2436" s="18"/>
      <c r="BE2436" s="18"/>
      <c r="BF2436" s="18"/>
      <c r="BG2436" s="18"/>
    </row>
    <row r="2437" spans="49:59" ht="18" customHeight="1">
      <c r="AW2437" s="18"/>
      <c r="AX2437" s="18"/>
      <c r="AY2437" s="18"/>
      <c r="AZ2437" s="18"/>
      <c r="BA2437" s="18"/>
      <c r="BB2437" s="18"/>
      <c r="BC2437" s="18"/>
      <c r="BD2437" s="18"/>
      <c r="BE2437" s="18"/>
      <c r="BF2437" s="18"/>
      <c r="BG2437" s="18"/>
    </row>
    <row r="2438" spans="49:59" ht="18" customHeight="1">
      <c r="AW2438" s="18"/>
      <c r="AX2438" s="18"/>
      <c r="AY2438" s="18"/>
      <c r="AZ2438" s="18"/>
      <c r="BA2438" s="18"/>
      <c r="BB2438" s="18"/>
      <c r="BC2438" s="18"/>
      <c r="BD2438" s="18"/>
      <c r="BE2438" s="18"/>
      <c r="BF2438" s="18"/>
      <c r="BG2438" s="18"/>
    </row>
    <row r="2439" spans="49:59" ht="18" customHeight="1">
      <c r="AW2439" s="18"/>
      <c r="AX2439" s="18"/>
      <c r="AY2439" s="18"/>
      <c r="AZ2439" s="18"/>
      <c r="BA2439" s="18"/>
      <c r="BB2439" s="18"/>
      <c r="BC2439" s="18"/>
      <c r="BD2439" s="18"/>
      <c r="BE2439" s="18"/>
      <c r="BF2439" s="18"/>
      <c r="BG2439" s="18"/>
    </row>
    <row r="2440" spans="49:59" ht="18" customHeight="1">
      <c r="AW2440" s="18"/>
      <c r="AX2440" s="18"/>
      <c r="AY2440" s="18"/>
      <c r="AZ2440" s="18"/>
      <c r="BA2440" s="18"/>
      <c r="BB2440" s="18"/>
      <c r="BC2440" s="18"/>
      <c r="BD2440" s="18"/>
      <c r="BE2440" s="18"/>
      <c r="BF2440" s="18"/>
      <c r="BG2440" s="18"/>
    </row>
    <row r="2441" spans="49:59" ht="18" customHeight="1">
      <c r="AW2441" s="18"/>
      <c r="AX2441" s="18"/>
      <c r="AY2441" s="18"/>
      <c r="AZ2441" s="18"/>
      <c r="BA2441" s="18"/>
      <c r="BB2441" s="18"/>
      <c r="BC2441" s="18"/>
      <c r="BD2441" s="18"/>
      <c r="BE2441" s="18"/>
      <c r="BF2441" s="18"/>
      <c r="BG2441" s="18"/>
    </row>
    <row r="2442" spans="49:59" ht="18" customHeight="1">
      <c r="AW2442" s="18"/>
      <c r="AX2442" s="18"/>
      <c r="AY2442" s="18"/>
      <c r="AZ2442" s="18"/>
      <c r="BA2442" s="18"/>
      <c r="BB2442" s="18"/>
      <c r="BC2442" s="18"/>
      <c r="BD2442" s="18"/>
      <c r="BE2442" s="18"/>
      <c r="BF2442" s="18"/>
      <c r="BG2442" s="18"/>
    </row>
    <row r="2443" spans="49:59" ht="18" customHeight="1">
      <c r="AW2443" s="18"/>
      <c r="AX2443" s="18"/>
      <c r="AY2443" s="18"/>
      <c r="AZ2443" s="18"/>
      <c r="BA2443" s="18"/>
      <c r="BB2443" s="18"/>
      <c r="BC2443" s="18"/>
      <c r="BD2443" s="18"/>
      <c r="BE2443" s="18"/>
      <c r="BF2443" s="18"/>
      <c r="BG2443" s="18"/>
    </row>
    <row r="2444" spans="49:59" ht="18" customHeight="1">
      <c r="AW2444" s="18"/>
      <c r="AX2444" s="18"/>
      <c r="AY2444" s="18"/>
      <c r="AZ2444" s="18"/>
      <c r="BA2444" s="18"/>
      <c r="BB2444" s="18"/>
      <c r="BC2444" s="18"/>
      <c r="BD2444" s="18"/>
      <c r="BE2444" s="18"/>
      <c r="BF2444" s="18"/>
      <c r="BG2444" s="18"/>
    </row>
    <row r="2445" spans="49:59" ht="18" customHeight="1">
      <c r="AW2445" s="18"/>
      <c r="AX2445" s="18"/>
      <c r="AY2445" s="18"/>
      <c r="AZ2445" s="18"/>
      <c r="BA2445" s="18"/>
      <c r="BB2445" s="18"/>
      <c r="BC2445" s="18"/>
      <c r="BD2445" s="18"/>
      <c r="BE2445" s="18"/>
      <c r="BF2445" s="18"/>
      <c r="BG2445" s="18"/>
    </row>
    <row r="2446" spans="49:59" ht="14.25">
      <c r="AW2446" s="18"/>
      <c r="AX2446" s="18"/>
      <c r="AY2446" s="18"/>
      <c r="AZ2446" s="18"/>
      <c r="BA2446" s="18"/>
      <c r="BB2446" s="18"/>
      <c r="BC2446" s="18"/>
      <c r="BD2446" s="18"/>
      <c r="BE2446" s="18"/>
      <c r="BF2446" s="18"/>
      <c r="BG2446" s="18"/>
    </row>
    <row r="2447" spans="49:59" ht="18" customHeight="1">
      <c r="AW2447" s="18"/>
      <c r="AX2447" s="18"/>
      <c r="AY2447" s="18"/>
      <c r="AZ2447" s="18"/>
      <c r="BA2447" s="18"/>
      <c r="BB2447" s="18"/>
      <c r="BC2447" s="18"/>
      <c r="BD2447" s="18"/>
      <c r="BE2447" s="18"/>
      <c r="BF2447" s="18"/>
      <c r="BG2447" s="18"/>
    </row>
    <row r="2448" spans="49:59" ht="18" customHeight="1">
      <c r="AW2448" s="18"/>
      <c r="AX2448" s="18"/>
      <c r="AY2448" s="18"/>
      <c r="AZ2448" s="18"/>
      <c r="BA2448" s="18"/>
      <c r="BB2448" s="18"/>
      <c r="BC2448" s="18"/>
      <c r="BD2448" s="18"/>
      <c r="BE2448" s="18"/>
      <c r="BF2448" s="18"/>
      <c r="BG2448" s="18"/>
    </row>
    <row r="2449" spans="49:59" ht="14.25">
      <c r="AW2449" s="18"/>
      <c r="AX2449" s="18"/>
      <c r="AY2449" s="18"/>
      <c r="AZ2449" s="18"/>
      <c r="BA2449" s="18"/>
      <c r="BB2449" s="18"/>
      <c r="BC2449" s="18"/>
      <c r="BD2449" s="18"/>
      <c r="BE2449" s="18"/>
      <c r="BF2449" s="18"/>
      <c r="BG2449" s="18"/>
    </row>
    <row r="2450" spans="49:59" ht="18" customHeight="1">
      <c r="AW2450" s="18"/>
      <c r="AX2450" s="18"/>
      <c r="AY2450" s="18"/>
      <c r="AZ2450" s="18"/>
      <c r="BA2450" s="18"/>
      <c r="BB2450" s="18"/>
      <c r="BC2450" s="18"/>
      <c r="BD2450" s="18"/>
      <c r="BE2450" s="18"/>
      <c r="BF2450" s="18"/>
      <c r="BG2450" s="18"/>
    </row>
    <row r="2451" spans="49:59" ht="18" customHeight="1">
      <c r="AW2451" s="18"/>
      <c r="AX2451" s="18"/>
      <c r="AY2451" s="18"/>
      <c r="AZ2451" s="18"/>
      <c r="BA2451" s="18"/>
      <c r="BB2451" s="18"/>
      <c r="BC2451" s="18"/>
      <c r="BD2451" s="18"/>
      <c r="BE2451" s="18"/>
      <c r="BF2451" s="18"/>
      <c r="BG2451" s="18"/>
    </row>
    <row r="2452" spans="49:59" ht="18" customHeight="1">
      <c r="AW2452" s="18"/>
      <c r="AX2452" s="18"/>
      <c r="AY2452" s="18"/>
      <c r="AZ2452" s="18"/>
      <c r="BA2452" s="18"/>
      <c r="BB2452" s="18"/>
      <c r="BC2452" s="18"/>
      <c r="BD2452" s="18"/>
      <c r="BE2452" s="18"/>
      <c r="BF2452" s="18"/>
      <c r="BG2452" s="18"/>
    </row>
    <row r="2453" spans="49:59" ht="18" customHeight="1">
      <c r="AW2453" s="18"/>
      <c r="AX2453" s="18"/>
      <c r="AY2453" s="18"/>
      <c r="AZ2453" s="18"/>
      <c r="BA2453" s="18"/>
      <c r="BB2453" s="18"/>
      <c r="BC2453" s="18"/>
      <c r="BD2453" s="18"/>
      <c r="BE2453" s="18"/>
      <c r="BF2453" s="18"/>
      <c r="BG2453" s="18"/>
    </row>
    <row r="2454" spans="49:59" ht="18" customHeight="1">
      <c r="AW2454" s="18"/>
      <c r="AX2454" s="18"/>
      <c r="AY2454" s="18"/>
      <c r="AZ2454" s="18"/>
      <c r="BA2454" s="18"/>
      <c r="BB2454" s="18"/>
      <c r="BC2454" s="18"/>
      <c r="BD2454" s="18"/>
      <c r="BE2454" s="18"/>
      <c r="BF2454" s="18"/>
      <c r="BG2454" s="18"/>
    </row>
    <row r="2455" spans="49:59" ht="18" customHeight="1">
      <c r="AW2455" s="18"/>
      <c r="AX2455" s="18"/>
      <c r="AY2455" s="18"/>
      <c r="AZ2455" s="18"/>
      <c r="BA2455" s="18"/>
      <c r="BB2455" s="18"/>
      <c r="BC2455" s="18"/>
      <c r="BD2455" s="18"/>
      <c r="BE2455" s="18"/>
      <c r="BF2455" s="18"/>
      <c r="BG2455" s="18"/>
    </row>
    <row r="2456" spans="49:59" ht="18" customHeight="1">
      <c r="AW2456" s="18"/>
      <c r="AX2456" s="18"/>
      <c r="AY2456" s="18"/>
      <c r="AZ2456" s="18"/>
      <c r="BA2456" s="18"/>
      <c r="BB2456" s="18"/>
      <c r="BC2456" s="18"/>
      <c r="BD2456" s="18"/>
      <c r="BE2456" s="18"/>
      <c r="BF2456" s="18"/>
      <c r="BG2456" s="18"/>
    </row>
    <row r="2457" spans="49:59" ht="18" customHeight="1">
      <c r="AW2457" s="18"/>
      <c r="AX2457" s="18"/>
      <c r="AY2457" s="18"/>
      <c r="AZ2457" s="18"/>
      <c r="BA2457" s="18"/>
      <c r="BB2457" s="18"/>
      <c r="BC2457" s="18"/>
      <c r="BD2457" s="18"/>
      <c r="BE2457" s="18"/>
      <c r="BF2457" s="18"/>
      <c r="BG2457" s="18"/>
    </row>
    <row r="2458" spans="49:59" ht="18" customHeight="1">
      <c r="AW2458" s="18"/>
      <c r="AX2458" s="18"/>
      <c r="AY2458" s="18"/>
      <c r="AZ2458" s="18"/>
      <c r="BA2458" s="18"/>
      <c r="BB2458" s="18"/>
      <c r="BC2458" s="18"/>
      <c r="BD2458" s="18"/>
      <c r="BE2458" s="18"/>
      <c r="BF2458" s="18"/>
      <c r="BG2458" s="18"/>
    </row>
    <row r="2459" spans="49:59" ht="18" customHeight="1">
      <c r="AW2459" s="18"/>
      <c r="AX2459" s="18"/>
      <c r="AY2459" s="18"/>
      <c r="AZ2459" s="18"/>
      <c r="BA2459" s="18"/>
      <c r="BB2459" s="18"/>
      <c r="BC2459" s="18"/>
      <c r="BD2459" s="18"/>
      <c r="BE2459" s="18"/>
      <c r="BF2459" s="18"/>
      <c r="BG2459" s="18"/>
    </row>
    <row r="2460" spans="49:59" ht="18" customHeight="1">
      <c r="AW2460" s="18"/>
      <c r="AX2460" s="18"/>
      <c r="AY2460" s="18"/>
      <c r="AZ2460" s="18"/>
      <c r="BA2460" s="18"/>
      <c r="BB2460" s="18"/>
      <c r="BC2460" s="18"/>
      <c r="BD2460" s="18"/>
      <c r="BE2460" s="18"/>
      <c r="BF2460" s="18"/>
      <c r="BG2460" s="18"/>
    </row>
    <row r="2461" spans="49:59" ht="18" customHeight="1">
      <c r="AW2461" s="18"/>
      <c r="AX2461" s="18"/>
      <c r="AY2461" s="18"/>
      <c r="AZ2461" s="18"/>
      <c r="BA2461" s="18"/>
      <c r="BB2461" s="18"/>
      <c r="BC2461" s="18"/>
      <c r="BD2461" s="18"/>
      <c r="BE2461" s="18"/>
      <c r="BF2461" s="18"/>
      <c r="BG2461" s="18"/>
    </row>
    <row r="2462" spans="49:59" ht="18" customHeight="1">
      <c r="AW2462" s="18"/>
      <c r="AX2462" s="18"/>
      <c r="AY2462" s="18"/>
      <c r="AZ2462" s="18"/>
      <c r="BA2462" s="18"/>
      <c r="BB2462" s="18"/>
      <c r="BC2462" s="18"/>
      <c r="BD2462" s="18"/>
      <c r="BE2462" s="18"/>
      <c r="BF2462" s="18"/>
      <c r="BG2462" s="18"/>
    </row>
    <row r="2463" spans="49:59" ht="18" customHeight="1">
      <c r="AW2463" s="18"/>
      <c r="AX2463" s="18"/>
      <c r="AY2463" s="18"/>
      <c r="AZ2463" s="18"/>
      <c r="BA2463" s="18"/>
      <c r="BB2463" s="18"/>
      <c r="BC2463" s="18"/>
      <c r="BD2463" s="18"/>
      <c r="BE2463" s="18"/>
      <c r="BF2463" s="18"/>
      <c r="BG2463" s="18"/>
    </row>
    <row r="2464" spans="49:59" ht="18" customHeight="1">
      <c r="AW2464" s="18"/>
      <c r="AX2464" s="18"/>
      <c r="AY2464" s="18"/>
      <c r="AZ2464" s="18"/>
      <c r="BA2464" s="18"/>
      <c r="BB2464" s="18"/>
      <c r="BC2464" s="18"/>
      <c r="BD2464" s="18"/>
      <c r="BE2464" s="18"/>
      <c r="BF2464" s="18"/>
      <c r="BG2464" s="18"/>
    </row>
    <row r="2465" spans="49:59" ht="18" customHeight="1">
      <c r="AW2465" s="18"/>
      <c r="AX2465" s="18"/>
      <c r="AY2465" s="18"/>
      <c r="AZ2465" s="18"/>
      <c r="BA2465" s="18"/>
      <c r="BB2465" s="18"/>
      <c r="BC2465" s="18"/>
      <c r="BD2465" s="18"/>
      <c r="BE2465" s="18"/>
      <c r="BF2465" s="18"/>
      <c r="BG2465" s="18"/>
    </row>
    <row r="2466" spans="49:59" ht="18" customHeight="1">
      <c r="AW2466" s="18"/>
      <c r="AX2466" s="18"/>
      <c r="AY2466" s="18"/>
      <c r="AZ2466" s="18"/>
      <c r="BA2466" s="18"/>
      <c r="BB2466" s="18"/>
      <c r="BC2466" s="18"/>
      <c r="BD2466" s="18"/>
      <c r="BE2466" s="18"/>
      <c r="BF2466" s="18"/>
      <c r="BG2466" s="18"/>
    </row>
    <row r="2467" spans="49:59" ht="18" customHeight="1">
      <c r="AW2467" s="18"/>
      <c r="AX2467" s="18"/>
      <c r="AY2467" s="18"/>
      <c r="AZ2467" s="18"/>
      <c r="BA2467" s="18"/>
      <c r="BB2467" s="18"/>
      <c r="BC2467" s="18"/>
      <c r="BD2467" s="18"/>
      <c r="BE2467" s="18"/>
      <c r="BF2467" s="18"/>
      <c r="BG2467" s="18"/>
    </row>
    <row r="2468" spans="49:59" ht="18" customHeight="1">
      <c r="AW2468" s="18"/>
      <c r="AX2468" s="18"/>
      <c r="AY2468" s="18"/>
      <c r="AZ2468" s="18"/>
      <c r="BA2468" s="18"/>
      <c r="BB2468" s="18"/>
      <c r="BC2468" s="18"/>
      <c r="BD2468" s="18"/>
      <c r="BE2468" s="18"/>
      <c r="BF2468" s="18"/>
      <c r="BG2468" s="18"/>
    </row>
    <row r="2469" spans="49:59" ht="18" customHeight="1">
      <c r="AW2469" s="18"/>
      <c r="AX2469" s="18"/>
      <c r="AY2469" s="18"/>
      <c r="AZ2469" s="18"/>
      <c r="BA2469" s="18"/>
      <c r="BB2469" s="18"/>
      <c r="BC2469" s="18"/>
      <c r="BD2469" s="18"/>
      <c r="BE2469" s="18"/>
      <c r="BF2469" s="18"/>
      <c r="BG2469" s="18"/>
    </row>
    <row r="2470" spans="49:59" ht="18" customHeight="1">
      <c r="AW2470" s="18"/>
      <c r="AX2470" s="18"/>
      <c r="AY2470" s="18"/>
      <c r="AZ2470" s="18"/>
      <c r="BA2470" s="18"/>
      <c r="BB2470" s="18"/>
      <c r="BC2470" s="18"/>
      <c r="BD2470" s="18"/>
      <c r="BE2470" s="18"/>
      <c r="BF2470" s="18"/>
      <c r="BG2470" s="18"/>
    </row>
    <row r="2471" spans="49:59" ht="18" customHeight="1">
      <c r="AW2471" s="18"/>
      <c r="AX2471" s="18"/>
      <c r="AY2471" s="18"/>
      <c r="AZ2471" s="18"/>
      <c r="BA2471" s="18"/>
      <c r="BB2471" s="18"/>
      <c r="BC2471" s="18"/>
      <c r="BD2471" s="18"/>
      <c r="BE2471" s="18"/>
      <c r="BF2471" s="18"/>
      <c r="BG2471" s="18"/>
    </row>
    <row r="2472" spans="49:59" ht="18" customHeight="1">
      <c r="AW2472" s="18"/>
      <c r="AX2472" s="18"/>
      <c r="AY2472" s="18"/>
      <c r="AZ2472" s="18"/>
      <c r="BA2472" s="18"/>
      <c r="BB2472" s="18"/>
      <c r="BC2472" s="18"/>
      <c r="BD2472" s="18"/>
      <c r="BE2472" s="18"/>
      <c r="BF2472" s="18"/>
      <c r="BG2472" s="18"/>
    </row>
    <row r="2473" spans="49:59" ht="18" customHeight="1">
      <c r="AW2473" s="18"/>
      <c r="AX2473" s="18"/>
      <c r="AY2473" s="18"/>
      <c r="AZ2473" s="18"/>
      <c r="BA2473" s="18"/>
      <c r="BB2473" s="18"/>
      <c r="BC2473" s="18"/>
      <c r="BD2473" s="18"/>
      <c r="BE2473" s="18"/>
      <c r="BF2473" s="18"/>
      <c r="BG2473" s="18"/>
    </row>
    <row r="2474" spans="49:59" ht="18" customHeight="1">
      <c r="AW2474" s="18"/>
      <c r="AX2474" s="18"/>
      <c r="AY2474" s="18"/>
      <c r="AZ2474" s="18"/>
      <c r="BA2474" s="18"/>
      <c r="BB2474" s="18"/>
      <c r="BC2474" s="18"/>
      <c r="BD2474" s="18"/>
      <c r="BE2474" s="18"/>
      <c r="BF2474" s="18"/>
      <c r="BG2474" s="18"/>
    </row>
    <row r="2475" spans="49:59" ht="18" customHeight="1">
      <c r="AW2475" s="18"/>
      <c r="AX2475" s="18"/>
      <c r="AY2475" s="18"/>
      <c r="AZ2475" s="18"/>
      <c r="BA2475" s="18"/>
      <c r="BB2475" s="18"/>
      <c r="BC2475" s="18"/>
      <c r="BD2475" s="18"/>
      <c r="BE2475" s="18"/>
      <c r="BF2475" s="18"/>
      <c r="BG2475" s="18"/>
    </row>
    <row r="2476" spans="49:59" ht="18" customHeight="1">
      <c r="AW2476" s="18"/>
      <c r="AX2476" s="18"/>
      <c r="AY2476" s="18"/>
      <c r="AZ2476" s="18"/>
      <c r="BA2476" s="18"/>
      <c r="BB2476" s="18"/>
      <c r="BC2476" s="18"/>
      <c r="BD2476" s="18"/>
      <c r="BE2476" s="18"/>
      <c r="BF2476" s="18"/>
      <c r="BG2476" s="18"/>
    </row>
    <row r="2477" spans="49:59" ht="18" customHeight="1">
      <c r="AW2477" s="18"/>
      <c r="AX2477" s="18"/>
      <c r="AY2477" s="18"/>
      <c r="AZ2477" s="18"/>
      <c r="BA2477" s="18"/>
      <c r="BB2477" s="18"/>
      <c r="BC2477" s="18"/>
      <c r="BD2477" s="18"/>
      <c r="BE2477" s="18"/>
      <c r="BF2477" s="18"/>
      <c r="BG2477" s="18"/>
    </row>
    <row r="2478" spans="49:59" ht="18" customHeight="1">
      <c r="AW2478" s="18"/>
      <c r="AX2478" s="18"/>
      <c r="AY2478" s="18"/>
      <c r="AZ2478" s="18"/>
      <c r="BA2478" s="18"/>
      <c r="BB2478" s="18"/>
      <c r="BC2478" s="18"/>
      <c r="BD2478" s="18"/>
      <c r="BE2478" s="18"/>
      <c r="BF2478" s="18"/>
      <c r="BG2478" s="18"/>
    </row>
    <row r="2479" spans="49:59" ht="18" customHeight="1">
      <c r="AW2479" s="18"/>
      <c r="AX2479" s="18"/>
      <c r="AY2479" s="18"/>
      <c r="AZ2479" s="18"/>
      <c r="BA2479" s="18"/>
      <c r="BB2479" s="18"/>
      <c r="BC2479" s="18"/>
      <c r="BD2479" s="18"/>
      <c r="BE2479" s="18"/>
      <c r="BF2479" s="18"/>
      <c r="BG2479" s="18"/>
    </row>
    <row r="2480" spans="49:59" ht="18" customHeight="1">
      <c r="AW2480" s="18"/>
      <c r="AX2480" s="18"/>
      <c r="AY2480" s="18"/>
      <c r="AZ2480" s="18"/>
      <c r="BA2480" s="18"/>
      <c r="BB2480" s="18"/>
      <c r="BC2480" s="18"/>
      <c r="BD2480" s="18"/>
      <c r="BE2480" s="18"/>
      <c r="BF2480" s="18"/>
      <c r="BG2480" s="18"/>
    </row>
    <row r="2481" spans="49:59" ht="18" customHeight="1">
      <c r="AW2481" s="18"/>
      <c r="AX2481" s="18"/>
      <c r="AY2481" s="18"/>
      <c r="AZ2481" s="18"/>
      <c r="BA2481" s="18"/>
      <c r="BB2481" s="18"/>
      <c r="BC2481" s="18"/>
      <c r="BD2481" s="18"/>
      <c r="BE2481" s="18"/>
      <c r="BF2481" s="18"/>
      <c r="BG2481" s="18"/>
    </row>
    <row r="2482" spans="49:59" ht="18" customHeight="1">
      <c r="AW2482" s="18"/>
      <c r="AX2482" s="18"/>
      <c r="AY2482" s="18"/>
      <c r="AZ2482" s="18"/>
      <c r="BA2482" s="18"/>
      <c r="BB2482" s="18"/>
      <c r="BC2482" s="18"/>
      <c r="BD2482" s="18"/>
      <c r="BE2482" s="18"/>
      <c r="BF2482" s="18"/>
      <c r="BG2482" s="18"/>
    </row>
    <row r="2483" spans="49:59" ht="18" customHeight="1">
      <c r="AW2483" s="18"/>
      <c r="AX2483" s="18"/>
      <c r="AY2483" s="18"/>
      <c r="AZ2483" s="18"/>
      <c r="BA2483" s="18"/>
      <c r="BB2483" s="18"/>
      <c r="BC2483" s="18"/>
      <c r="BD2483" s="18"/>
      <c r="BE2483" s="18"/>
      <c r="BF2483" s="18"/>
      <c r="BG2483" s="18"/>
    </row>
    <row r="2484" spans="49:59" ht="18" customHeight="1">
      <c r="AW2484" s="18"/>
      <c r="AX2484" s="18"/>
      <c r="AY2484" s="18"/>
      <c r="AZ2484" s="18"/>
      <c r="BA2484" s="18"/>
      <c r="BB2484" s="18"/>
      <c r="BC2484" s="18"/>
      <c r="BD2484" s="18"/>
      <c r="BE2484" s="18"/>
      <c r="BF2484" s="18"/>
      <c r="BG2484" s="18"/>
    </row>
    <row r="2485" spans="49:59" ht="18" customHeight="1">
      <c r="AW2485" s="18"/>
      <c r="AX2485" s="18"/>
      <c r="AY2485" s="18"/>
      <c r="AZ2485" s="18"/>
      <c r="BA2485" s="18"/>
      <c r="BB2485" s="18"/>
      <c r="BC2485" s="18"/>
      <c r="BD2485" s="18"/>
      <c r="BE2485" s="18"/>
      <c r="BF2485" s="18"/>
      <c r="BG2485" s="18"/>
    </row>
    <row r="2486" spans="49:59" ht="18" customHeight="1">
      <c r="AW2486" s="18"/>
      <c r="AX2486" s="18"/>
      <c r="AY2486" s="18"/>
      <c r="AZ2486" s="18"/>
      <c r="BA2486" s="18"/>
      <c r="BB2486" s="18"/>
      <c r="BC2486" s="18"/>
      <c r="BD2486" s="18"/>
      <c r="BE2486" s="18"/>
      <c r="BF2486" s="18"/>
      <c r="BG2486" s="18"/>
    </row>
    <row r="2487" spans="49:59" ht="18" customHeight="1">
      <c r="AW2487" s="18"/>
      <c r="AX2487" s="18"/>
      <c r="AY2487" s="18"/>
      <c r="AZ2487" s="18"/>
      <c r="BA2487" s="18"/>
      <c r="BB2487" s="18"/>
      <c r="BC2487" s="18"/>
      <c r="BD2487" s="18"/>
      <c r="BE2487" s="18"/>
      <c r="BF2487" s="18"/>
      <c r="BG2487" s="18"/>
    </row>
    <row r="2488" spans="49:59" ht="18" customHeight="1">
      <c r="AW2488" s="18"/>
      <c r="AX2488" s="18"/>
      <c r="AY2488" s="18"/>
      <c r="AZ2488" s="18"/>
      <c r="BA2488" s="18"/>
      <c r="BB2488" s="18"/>
      <c r="BC2488" s="18"/>
      <c r="BD2488" s="18"/>
      <c r="BE2488" s="18"/>
      <c r="BF2488" s="18"/>
      <c r="BG2488" s="18"/>
    </row>
    <row r="2489" spans="49:59" ht="18" customHeight="1">
      <c r="AW2489" s="18"/>
      <c r="AX2489" s="18"/>
      <c r="AY2489" s="18"/>
      <c r="AZ2489" s="18"/>
      <c r="BA2489" s="18"/>
      <c r="BB2489" s="18"/>
      <c r="BC2489" s="18"/>
      <c r="BD2489" s="18"/>
      <c r="BE2489" s="18"/>
      <c r="BF2489" s="18"/>
      <c r="BG2489" s="18"/>
    </row>
    <row r="2490" spans="49:59" ht="18" customHeight="1">
      <c r="AW2490" s="18"/>
      <c r="AX2490" s="18"/>
      <c r="AY2490" s="18"/>
      <c r="AZ2490" s="18"/>
      <c r="BA2490" s="18"/>
      <c r="BB2490" s="18"/>
      <c r="BC2490" s="18"/>
      <c r="BD2490" s="18"/>
      <c r="BE2490" s="18"/>
      <c r="BF2490" s="18"/>
      <c r="BG2490" s="18"/>
    </row>
    <row r="2491" spans="49:59" ht="18" customHeight="1">
      <c r="AW2491" s="18"/>
      <c r="AX2491" s="18"/>
      <c r="AY2491" s="18"/>
      <c r="AZ2491" s="18"/>
      <c r="BA2491" s="18"/>
      <c r="BB2491" s="18"/>
      <c r="BC2491" s="18"/>
      <c r="BD2491" s="18"/>
      <c r="BE2491" s="18"/>
      <c r="BF2491" s="18"/>
      <c r="BG2491" s="18"/>
    </row>
    <row r="2492" spans="49:59" ht="18" customHeight="1">
      <c r="AW2492" s="18"/>
      <c r="AX2492" s="18"/>
      <c r="AY2492" s="18"/>
      <c r="AZ2492" s="18"/>
      <c r="BA2492" s="18"/>
      <c r="BB2492" s="18"/>
      <c r="BC2492" s="18"/>
      <c r="BD2492" s="18"/>
      <c r="BE2492" s="18"/>
      <c r="BF2492" s="18"/>
      <c r="BG2492" s="18"/>
    </row>
    <row r="2493" spans="49:59" ht="18" customHeight="1">
      <c r="AW2493" s="18"/>
      <c r="AX2493" s="18"/>
      <c r="AY2493" s="18"/>
      <c r="AZ2493" s="18"/>
      <c r="BA2493" s="18"/>
      <c r="BB2493" s="18"/>
      <c r="BC2493" s="18"/>
      <c r="BD2493" s="18"/>
      <c r="BE2493" s="18"/>
      <c r="BF2493" s="18"/>
      <c r="BG2493" s="18"/>
    </row>
    <row r="2494" spans="49:59" ht="18" customHeight="1">
      <c r="AW2494" s="18"/>
      <c r="AX2494" s="18"/>
      <c r="AY2494" s="18"/>
      <c r="AZ2494" s="18"/>
      <c r="BA2494" s="18"/>
      <c r="BB2494" s="18"/>
      <c r="BC2494" s="18"/>
      <c r="BD2494" s="18"/>
      <c r="BE2494" s="18"/>
      <c r="BF2494" s="18"/>
      <c r="BG2494" s="18"/>
    </row>
    <row r="2495" spans="49:59" ht="18" customHeight="1">
      <c r="AW2495" s="18"/>
      <c r="AX2495" s="18"/>
      <c r="AY2495" s="18"/>
      <c r="AZ2495" s="18"/>
      <c r="BA2495" s="18"/>
      <c r="BB2495" s="18"/>
      <c r="BC2495" s="18"/>
      <c r="BD2495" s="18"/>
      <c r="BE2495" s="18"/>
      <c r="BF2495" s="18"/>
      <c r="BG2495" s="18"/>
    </row>
    <row r="2496" spans="49:59" ht="18" customHeight="1">
      <c r="AW2496" s="18"/>
      <c r="AX2496" s="18"/>
      <c r="AY2496" s="18"/>
      <c r="AZ2496" s="18"/>
      <c r="BA2496" s="18"/>
      <c r="BB2496" s="18"/>
      <c r="BC2496" s="18"/>
      <c r="BD2496" s="18"/>
      <c r="BE2496" s="18"/>
      <c r="BF2496" s="18"/>
      <c r="BG2496" s="18"/>
    </row>
    <row r="2497" spans="49:59" ht="18" customHeight="1">
      <c r="AW2497" s="18"/>
      <c r="AX2497" s="18"/>
      <c r="AY2497" s="18"/>
      <c r="AZ2497" s="18"/>
      <c r="BA2497" s="18"/>
      <c r="BB2497" s="18"/>
      <c r="BC2497" s="18"/>
      <c r="BD2497" s="18"/>
      <c r="BE2497" s="18"/>
      <c r="BF2497" s="18"/>
      <c r="BG2497" s="18"/>
    </row>
    <row r="2498" spans="49:59" ht="18" customHeight="1">
      <c r="AW2498" s="18"/>
      <c r="AX2498" s="18"/>
      <c r="AY2498" s="18"/>
      <c r="AZ2498" s="18"/>
      <c r="BA2498" s="18"/>
      <c r="BB2498" s="18"/>
      <c r="BC2498" s="18"/>
      <c r="BD2498" s="18"/>
      <c r="BE2498" s="18"/>
      <c r="BF2498" s="18"/>
      <c r="BG2498" s="18"/>
    </row>
    <row r="2499" spans="49:59" ht="18" customHeight="1">
      <c r="AW2499" s="18"/>
      <c r="AX2499" s="18"/>
      <c r="AY2499" s="18"/>
      <c r="AZ2499" s="18"/>
      <c r="BA2499" s="18"/>
      <c r="BB2499" s="18"/>
      <c r="BC2499" s="18"/>
      <c r="BD2499" s="18"/>
      <c r="BE2499" s="18"/>
      <c r="BF2499" s="18"/>
      <c r="BG2499" s="18"/>
    </row>
    <row r="2500" spans="49:59" ht="18" customHeight="1">
      <c r="AW2500" s="18"/>
      <c r="AX2500" s="18"/>
      <c r="AY2500" s="18"/>
      <c r="AZ2500" s="18"/>
      <c r="BA2500" s="18"/>
      <c r="BB2500" s="18"/>
      <c r="BC2500" s="18"/>
      <c r="BD2500" s="18"/>
      <c r="BE2500" s="18"/>
      <c r="BF2500" s="18"/>
      <c r="BG2500" s="18"/>
    </row>
    <row r="2501" spans="49:59" ht="18" customHeight="1">
      <c r="AW2501" s="18"/>
      <c r="AX2501" s="18"/>
      <c r="AY2501" s="18"/>
      <c r="AZ2501" s="18"/>
      <c r="BA2501" s="18"/>
      <c r="BB2501" s="18"/>
      <c r="BC2501" s="18"/>
      <c r="BD2501" s="18"/>
      <c r="BE2501" s="18"/>
      <c r="BF2501" s="18"/>
      <c r="BG2501" s="18"/>
    </row>
    <row r="2502" spans="49:59" ht="18" customHeight="1">
      <c r="AW2502" s="18"/>
      <c r="AX2502" s="18"/>
      <c r="AY2502" s="18"/>
      <c r="AZ2502" s="18"/>
      <c r="BA2502" s="18"/>
      <c r="BB2502" s="18"/>
      <c r="BC2502" s="18"/>
      <c r="BD2502" s="18"/>
      <c r="BE2502" s="18"/>
      <c r="BF2502" s="18"/>
      <c r="BG2502" s="18"/>
    </row>
    <row r="2503" spans="49:59" ht="18" customHeight="1">
      <c r="AW2503" s="18"/>
      <c r="AX2503" s="18"/>
      <c r="AY2503" s="18"/>
      <c r="AZ2503" s="18"/>
      <c r="BA2503" s="18"/>
      <c r="BB2503" s="18"/>
      <c r="BC2503" s="18"/>
      <c r="BD2503" s="18"/>
      <c r="BE2503" s="18"/>
      <c r="BF2503" s="18"/>
      <c r="BG2503" s="18"/>
    </row>
    <row r="2504" spans="49:59" ht="18" customHeight="1">
      <c r="AW2504" s="18"/>
      <c r="AX2504" s="18"/>
      <c r="AY2504" s="18"/>
      <c r="AZ2504" s="18"/>
      <c r="BA2504" s="18"/>
      <c r="BB2504" s="18"/>
      <c r="BC2504" s="18"/>
      <c r="BD2504" s="18"/>
      <c r="BE2504" s="18"/>
      <c r="BF2504" s="18"/>
      <c r="BG2504" s="18"/>
    </row>
    <row r="2505" spans="49:59" ht="18" customHeight="1">
      <c r="AW2505" s="18"/>
      <c r="AX2505" s="18"/>
      <c r="AY2505" s="18"/>
      <c r="AZ2505" s="18"/>
      <c r="BA2505" s="18"/>
      <c r="BB2505" s="18"/>
      <c r="BC2505" s="18"/>
      <c r="BD2505" s="18"/>
      <c r="BE2505" s="18"/>
      <c r="BF2505" s="18"/>
      <c r="BG2505" s="18"/>
    </row>
    <row r="2506" spans="49:59" ht="18" customHeight="1">
      <c r="AW2506" s="18"/>
      <c r="AX2506" s="18"/>
      <c r="AY2506" s="18"/>
      <c r="AZ2506" s="18"/>
      <c r="BA2506" s="18"/>
      <c r="BB2506" s="18"/>
      <c r="BC2506" s="18"/>
      <c r="BD2506" s="18"/>
      <c r="BE2506" s="18"/>
      <c r="BF2506" s="18"/>
      <c r="BG2506" s="18"/>
    </row>
    <row r="2507" spans="49:59" ht="18" customHeight="1">
      <c r="AW2507" s="18"/>
      <c r="AX2507" s="18"/>
      <c r="AY2507" s="18"/>
      <c r="AZ2507" s="18"/>
      <c r="BA2507" s="18"/>
      <c r="BB2507" s="18"/>
      <c r="BC2507" s="18"/>
      <c r="BD2507" s="18"/>
      <c r="BE2507" s="18"/>
      <c r="BF2507" s="18"/>
      <c r="BG2507" s="18"/>
    </row>
    <row r="2508" spans="49:59" ht="18" customHeight="1">
      <c r="AW2508" s="18"/>
      <c r="AX2508" s="18"/>
      <c r="AY2508" s="18"/>
      <c r="AZ2508" s="18"/>
      <c r="BA2508" s="18"/>
      <c r="BB2508" s="18"/>
      <c r="BC2508" s="18"/>
      <c r="BD2508" s="18"/>
      <c r="BE2508" s="18"/>
      <c r="BF2508" s="18"/>
      <c r="BG2508" s="18"/>
    </row>
    <row r="2509" spans="49:59" ht="18" customHeight="1">
      <c r="AW2509" s="18"/>
      <c r="AX2509" s="18"/>
      <c r="AY2509" s="18"/>
      <c r="AZ2509" s="18"/>
      <c r="BA2509" s="18"/>
      <c r="BB2509" s="18"/>
      <c r="BC2509" s="18"/>
      <c r="BD2509" s="18"/>
      <c r="BE2509" s="18"/>
      <c r="BF2509" s="18"/>
      <c r="BG2509" s="18"/>
    </row>
    <row r="2510" spans="49:59" ht="18" customHeight="1">
      <c r="AW2510" s="18"/>
      <c r="AX2510" s="18"/>
      <c r="AY2510" s="18"/>
      <c r="AZ2510" s="18"/>
      <c r="BA2510" s="18"/>
      <c r="BB2510" s="18"/>
      <c r="BC2510" s="18"/>
      <c r="BD2510" s="18"/>
      <c r="BE2510" s="18"/>
      <c r="BF2510" s="18"/>
      <c r="BG2510" s="18"/>
    </row>
    <row r="2511" spans="49:59" ht="18" customHeight="1">
      <c r="AW2511" s="18"/>
      <c r="AX2511" s="18"/>
      <c r="AY2511" s="18"/>
      <c r="AZ2511" s="18"/>
      <c r="BA2511" s="18"/>
      <c r="BB2511" s="18"/>
      <c r="BC2511" s="18"/>
      <c r="BD2511" s="18"/>
      <c r="BE2511" s="18"/>
      <c r="BF2511" s="18"/>
      <c r="BG2511" s="18"/>
    </row>
    <row r="2512" spans="49:59" ht="18" customHeight="1">
      <c r="AW2512" s="18"/>
      <c r="AX2512" s="18"/>
      <c r="AY2512" s="18"/>
      <c r="AZ2512" s="18"/>
      <c r="BA2512" s="18"/>
      <c r="BB2512" s="18"/>
      <c r="BC2512" s="18"/>
      <c r="BD2512" s="18"/>
      <c r="BE2512" s="18"/>
      <c r="BF2512" s="18"/>
      <c r="BG2512" s="18"/>
    </row>
    <row r="2513" spans="49:59" ht="18" customHeight="1">
      <c r="AW2513" s="18"/>
      <c r="AX2513" s="18"/>
      <c r="AY2513" s="18"/>
      <c r="AZ2513" s="18"/>
      <c r="BA2513" s="18"/>
      <c r="BB2513" s="18"/>
      <c r="BC2513" s="18"/>
      <c r="BD2513" s="18"/>
      <c r="BE2513" s="18"/>
      <c r="BF2513" s="18"/>
      <c r="BG2513" s="18"/>
    </row>
    <row r="2514" spans="49:59" ht="18" customHeight="1">
      <c r="AW2514" s="18"/>
      <c r="AX2514" s="18"/>
      <c r="AY2514" s="18"/>
      <c r="AZ2514" s="18"/>
      <c r="BA2514" s="18"/>
      <c r="BB2514" s="18"/>
      <c r="BC2514" s="18"/>
      <c r="BD2514" s="18"/>
      <c r="BE2514" s="18"/>
      <c r="BF2514" s="18"/>
      <c r="BG2514" s="18"/>
    </row>
    <row r="2515" spans="49:59" ht="18" customHeight="1">
      <c r="AW2515" s="18"/>
      <c r="AX2515" s="18"/>
      <c r="AY2515" s="18"/>
      <c r="AZ2515" s="18"/>
      <c r="BA2515" s="18"/>
      <c r="BB2515" s="18"/>
      <c r="BC2515" s="18"/>
      <c r="BD2515" s="18"/>
      <c r="BE2515" s="18"/>
      <c r="BF2515" s="18"/>
      <c r="BG2515" s="18"/>
    </row>
    <row r="2516" spans="49:59" ht="18" customHeight="1">
      <c r="AW2516" s="18"/>
      <c r="AX2516" s="18"/>
      <c r="AY2516" s="18"/>
      <c r="AZ2516" s="18"/>
      <c r="BA2516" s="18"/>
      <c r="BB2516" s="18"/>
      <c r="BC2516" s="18"/>
      <c r="BD2516" s="18"/>
      <c r="BE2516" s="18"/>
      <c r="BF2516" s="18"/>
      <c r="BG2516" s="18"/>
    </row>
    <row r="2517" spans="49:59" ht="18" customHeight="1">
      <c r="AW2517" s="18"/>
      <c r="AX2517" s="18"/>
      <c r="AY2517" s="18"/>
      <c r="AZ2517" s="18"/>
      <c r="BA2517" s="18"/>
      <c r="BB2517" s="18"/>
      <c r="BC2517" s="18"/>
      <c r="BD2517" s="18"/>
      <c r="BE2517" s="18"/>
      <c r="BF2517" s="18"/>
      <c r="BG2517" s="18"/>
    </row>
    <row r="2518" spans="49:59" ht="18" customHeight="1">
      <c r="AW2518" s="18"/>
      <c r="AX2518" s="18"/>
      <c r="AY2518" s="18"/>
      <c r="AZ2518" s="18"/>
      <c r="BA2518" s="18"/>
      <c r="BB2518" s="18"/>
      <c r="BC2518" s="18"/>
      <c r="BD2518" s="18"/>
      <c r="BE2518" s="18"/>
      <c r="BF2518" s="18"/>
      <c r="BG2518" s="18"/>
    </row>
    <row r="2519" spans="49:59" ht="18" customHeight="1">
      <c r="AW2519" s="18"/>
      <c r="AX2519" s="18"/>
      <c r="AY2519" s="18"/>
      <c r="AZ2519" s="18"/>
      <c r="BA2519" s="18"/>
      <c r="BB2519" s="18"/>
      <c r="BC2519" s="18"/>
      <c r="BD2519" s="18"/>
      <c r="BE2519" s="18"/>
      <c r="BF2519" s="18"/>
      <c r="BG2519" s="18"/>
    </row>
    <row r="2520" spans="49:59" ht="18" customHeight="1">
      <c r="AW2520" s="18"/>
      <c r="AX2520" s="18"/>
      <c r="AY2520" s="18"/>
      <c r="AZ2520" s="18"/>
      <c r="BA2520" s="18"/>
      <c r="BB2520" s="18"/>
      <c r="BC2520" s="18"/>
      <c r="BD2520" s="18"/>
      <c r="BE2520" s="18"/>
      <c r="BF2520" s="18"/>
      <c r="BG2520" s="18"/>
    </row>
    <row r="2521" spans="49:59" ht="18" customHeight="1">
      <c r="AW2521" s="18"/>
      <c r="AX2521" s="18"/>
      <c r="AY2521" s="18"/>
      <c r="AZ2521" s="18"/>
      <c r="BA2521" s="18"/>
      <c r="BB2521" s="18"/>
      <c r="BC2521" s="18"/>
      <c r="BD2521" s="18"/>
      <c r="BE2521" s="18"/>
      <c r="BF2521" s="18"/>
      <c r="BG2521" s="18"/>
    </row>
    <row r="2522" spans="49:59" ht="18" customHeight="1">
      <c r="AW2522" s="18"/>
      <c r="AX2522" s="18"/>
      <c r="AY2522" s="18"/>
      <c r="AZ2522" s="18"/>
      <c r="BA2522" s="18"/>
      <c r="BB2522" s="18"/>
      <c r="BC2522" s="18"/>
      <c r="BD2522" s="18"/>
      <c r="BE2522" s="18"/>
      <c r="BF2522" s="18"/>
      <c r="BG2522" s="18"/>
    </row>
    <row r="2523" spans="49:59" ht="18" customHeight="1">
      <c r="AW2523" s="18"/>
      <c r="AX2523" s="18"/>
      <c r="AY2523" s="18"/>
      <c r="AZ2523" s="18"/>
      <c r="BA2523" s="18"/>
      <c r="BB2523" s="18"/>
      <c r="BC2523" s="18"/>
      <c r="BD2523" s="18"/>
      <c r="BE2523" s="18"/>
      <c r="BF2523" s="18"/>
      <c r="BG2523" s="18"/>
    </row>
    <row r="2524" spans="49:59" ht="18" customHeight="1">
      <c r="AW2524" s="18"/>
      <c r="AX2524" s="18"/>
      <c r="AY2524" s="18"/>
      <c r="AZ2524" s="18"/>
      <c r="BA2524" s="18"/>
      <c r="BB2524" s="18"/>
      <c r="BC2524" s="18"/>
      <c r="BD2524" s="18"/>
      <c r="BE2524" s="18"/>
      <c r="BF2524" s="18"/>
      <c r="BG2524" s="18"/>
    </row>
    <row r="2525" spans="49:59" ht="18" customHeight="1">
      <c r="AW2525" s="18"/>
      <c r="AX2525" s="18"/>
      <c r="AY2525" s="18"/>
      <c r="AZ2525" s="18"/>
      <c r="BA2525" s="18"/>
      <c r="BB2525" s="18"/>
      <c r="BC2525" s="18"/>
      <c r="BD2525" s="18"/>
      <c r="BE2525" s="18"/>
      <c r="BF2525" s="18"/>
      <c r="BG2525" s="18"/>
    </row>
    <row r="2526" spans="49:59" ht="18" customHeight="1">
      <c r="AW2526" s="18"/>
      <c r="AX2526" s="18"/>
      <c r="AY2526" s="18"/>
      <c r="AZ2526" s="18"/>
      <c r="BA2526" s="18"/>
      <c r="BB2526" s="18"/>
      <c r="BC2526" s="18"/>
      <c r="BD2526" s="18"/>
      <c r="BE2526" s="18"/>
      <c r="BF2526" s="18"/>
      <c r="BG2526" s="18"/>
    </row>
    <row r="2527" spans="49:59" ht="18" customHeight="1">
      <c r="AW2527" s="18"/>
      <c r="AX2527" s="18"/>
      <c r="AY2527" s="18"/>
      <c r="AZ2527" s="18"/>
      <c r="BA2527" s="18"/>
      <c r="BB2527" s="18"/>
      <c r="BC2527" s="18"/>
      <c r="BD2527" s="18"/>
      <c r="BE2527" s="18"/>
      <c r="BF2527" s="18"/>
      <c r="BG2527" s="18"/>
    </row>
    <row r="2528" spans="49:59" ht="18" customHeight="1">
      <c r="AW2528" s="18"/>
      <c r="AX2528" s="18"/>
      <c r="AY2528" s="18"/>
      <c r="AZ2528" s="18"/>
      <c r="BA2528" s="18"/>
      <c r="BB2528" s="18"/>
      <c r="BC2528" s="18"/>
      <c r="BD2528" s="18"/>
      <c r="BE2528" s="18"/>
      <c r="BF2528" s="18"/>
      <c r="BG2528" s="18"/>
    </row>
    <row r="2529" spans="49:59" ht="18" customHeight="1">
      <c r="AW2529" s="18"/>
      <c r="AX2529" s="18"/>
      <c r="AY2529" s="18"/>
      <c r="AZ2529" s="18"/>
      <c r="BA2529" s="18"/>
      <c r="BB2529" s="18"/>
      <c r="BC2529" s="18"/>
      <c r="BD2529" s="18"/>
      <c r="BE2529" s="18"/>
      <c r="BF2529" s="18"/>
      <c r="BG2529" s="18"/>
    </row>
    <row r="2530" spans="49:59" ht="18" customHeight="1">
      <c r="AW2530" s="18"/>
      <c r="AX2530" s="18"/>
      <c r="AY2530" s="18"/>
      <c r="AZ2530" s="18"/>
      <c r="BA2530" s="18"/>
      <c r="BB2530" s="18"/>
      <c r="BC2530" s="18"/>
      <c r="BD2530" s="18"/>
      <c r="BE2530" s="18"/>
      <c r="BF2530" s="18"/>
      <c r="BG2530" s="18"/>
    </row>
    <row r="2531" spans="49:59" ht="18" customHeight="1">
      <c r="AW2531" s="18"/>
      <c r="AX2531" s="18"/>
      <c r="AY2531" s="18"/>
      <c r="AZ2531" s="18"/>
      <c r="BA2531" s="18"/>
      <c r="BB2531" s="18"/>
      <c r="BC2531" s="18"/>
      <c r="BD2531" s="18"/>
      <c r="BE2531" s="18"/>
      <c r="BF2531" s="18"/>
      <c r="BG2531" s="18"/>
    </row>
    <row r="2532" spans="49:59" ht="18" customHeight="1">
      <c r="AW2532" s="18"/>
      <c r="AX2532" s="18"/>
      <c r="AY2532" s="18"/>
      <c r="AZ2532" s="18"/>
      <c r="BA2532" s="18"/>
      <c r="BB2532" s="18"/>
      <c r="BC2532" s="18"/>
      <c r="BD2532" s="18"/>
      <c r="BE2532" s="18"/>
      <c r="BF2532" s="18"/>
      <c r="BG2532" s="18"/>
    </row>
    <row r="2533" spans="49:59" ht="18" customHeight="1">
      <c r="AW2533" s="18"/>
      <c r="AX2533" s="18"/>
      <c r="AY2533" s="18"/>
      <c r="AZ2533" s="18"/>
      <c r="BA2533" s="18"/>
      <c r="BB2533" s="18"/>
      <c r="BC2533" s="18"/>
      <c r="BD2533" s="18"/>
      <c r="BE2533" s="18"/>
      <c r="BF2533" s="18"/>
      <c r="BG2533" s="18"/>
    </row>
    <row r="2534" spans="49:59" ht="18" customHeight="1">
      <c r="AW2534" s="18"/>
      <c r="AX2534" s="18"/>
      <c r="AY2534" s="18"/>
      <c r="AZ2534" s="18"/>
      <c r="BA2534" s="18"/>
      <c r="BB2534" s="18"/>
      <c r="BC2534" s="18"/>
      <c r="BD2534" s="18"/>
      <c r="BE2534" s="18"/>
      <c r="BF2534" s="18"/>
      <c r="BG2534" s="18"/>
    </row>
    <row r="2535" spans="49:59" ht="18" customHeight="1">
      <c r="AW2535" s="18"/>
      <c r="AX2535" s="18"/>
      <c r="AY2535" s="18"/>
      <c r="AZ2535" s="18"/>
      <c r="BA2535" s="18"/>
      <c r="BB2535" s="18"/>
      <c r="BC2535" s="18"/>
      <c r="BD2535" s="18"/>
      <c r="BE2535" s="18"/>
      <c r="BF2535" s="18"/>
      <c r="BG2535" s="18"/>
    </row>
    <row r="2536" spans="49:59" ht="18" customHeight="1">
      <c r="AW2536" s="18"/>
      <c r="AX2536" s="18"/>
      <c r="AY2536" s="18"/>
      <c r="AZ2536" s="18"/>
      <c r="BA2536" s="18"/>
      <c r="BB2536" s="18"/>
      <c r="BC2536" s="18"/>
      <c r="BD2536" s="18"/>
      <c r="BE2536" s="18"/>
      <c r="BF2536" s="18"/>
      <c r="BG2536" s="18"/>
    </row>
    <row r="2537" spans="49:59" ht="18" customHeight="1">
      <c r="AW2537" s="18"/>
      <c r="AX2537" s="18"/>
      <c r="AY2537" s="18"/>
      <c r="AZ2537" s="18"/>
      <c r="BA2537" s="18"/>
      <c r="BB2537" s="18"/>
      <c r="BC2537" s="18"/>
      <c r="BD2537" s="18"/>
      <c r="BE2537" s="18"/>
      <c r="BF2537" s="18"/>
      <c r="BG2537" s="18"/>
    </row>
    <row r="2538" spans="49:59" ht="18" customHeight="1">
      <c r="AW2538" s="18"/>
      <c r="AX2538" s="18"/>
      <c r="AY2538" s="18"/>
      <c r="AZ2538" s="18"/>
      <c r="BA2538" s="18"/>
      <c r="BB2538" s="18"/>
      <c r="BC2538" s="18"/>
      <c r="BD2538" s="18"/>
      <c r="BE2538" s="18"/>
      <c r="BF2538" s="18"/>
      <c r="BG2538" s="18"/>
    </row>
    <row r="2539" spans="49:59" ht="18" customHeight="1">
      <c r="AW2539" s="18"/>
      <c r="AX2539" s="18"/>
      <c r="AY2539" s="18"/>
      <c r="AZ2539" s="18"/>
      <c r="BA2539" s="18"/>
      <c r="BB2539" s="18"/>
      <c r="BC2539" s="18"/>
      <c r="BD2539" s="18"/>
      <c r="BE2539" s="18"/>
      <c r="BF2539" s="18"/>
      <c r="BG2539" s="18"/>
    </row>
    <row r="2540" spans="49:59" ht="18" customHeight="1">
      <c r="AW2540" s="18"/>
      <c r="AX2540" s="18"/>
      <c r="AY2540" s="18"/>
      <c r="AZ2540" s="18"/>
      <c r="BA2540" s="18"/>
      <c r="BB2540" s="18"/>
      <c r="BC2540" s="18"/>
      <c r="BD2540" s="18"/>
      <c r="BE2540" s="18"/>
      <c r="BF2540" s="18"/>
      <c r="BG2540" s="18"/>
    </row>
    <row r="2541" spans="49:59" ht="14.25">
      <c r="AW2541" s="18"/>
      <c r="AX2541" s="18"/>
      <c r="AY2541" s="18"/>
      <c r="AZ2541" s="18"/>
      <c r="BA2541" s="18"/>
      <c r="BB2541" s="18"/>
      <c r="BC2541" s="18"/>
      <c r="BD2541" s="18"/>
      <c r="BE2541" s="18"/>
      <c r="BF2541" s="18"/>
      <c r="BG2541" s="18"/>
    </row>
    <row r="2542" spans="49:59" ht="18" customHeight="1">
      <c r="AW2542" s="18"/>
      <c r="AX2542" s="18"/>
      <c r="AY2542" s="18"/>
      <c r="AZ2542" s="18"/>
      <c r="BA2542" s="18"/>
      <c r="BB2542" s="18"/>
      <c r="BC2542" s="18"/>
      <c r="BD2542" s="18"/>
      <c r="BE2542" s="18"/>
      <c r="BF2542" s="18"/>
      <c r="BG2542" s="18"/>
    </row>
    <row r="2543" spans="49:59" ht="14.25">
      <c r="AW2543" s="18"/>
      <c r="AX2543" s="18"/>
      <c r="AY2543" s="18"/>
      <c r="AZ2543" s="18"/>
      <c r="BA2543" s="18"/>
      <c r="BB2543" s="18"/>
      <c r="BC2543" s="18"/>
      <c r="BD2543" s="18"/>
      <c r="BE2543" s="18"/>
      <c r="BF2543" s="18"/>
      <c r="BG2543" s="18"/>
    </row>
    <row r="2544" spans="49:59" ht="14.25">
      <c r="AW2544" s="18"/>
      <c r="AX2544" s="18"/>
      <c r="AY2544" s="18"/>
      <c r="AZ2544" s="18"/>
      <c r="BA2544" s="18"/>
      <c r="BB2544" s="18"/>
      <c r="BC2544" s="18"/>
      <c r="BD2544" s="18"/>
      <c r="BE2544" s="18"/>
      <c r="BF2544" s="18"/>
      <c r="BG2544" s="18"/>
    </row>
    <row r="2545" spans="49:59" ht="14.25">
      <c r="AW2545" s="18"/>
      <c r="AX2545" s="18"/>
      <c r="AY2545" s="18"/>
      <c r="AZ2545" s="18"/>
      <c r="BA2545" s="18"/>
      <c r="BB2545" s="18"/>
      <c r="BC2545" s="18"/>
      <c r="BD2545" s="18"/>
      <c r="BE2545" s="18"/>
      <c r="BF2545" s="18"/>
      <c r="BG2545" s="18"/>
    </row>
    <row r="2546" spans="49:59" ht="18" customHeight="1">
      <c r="AW2546" s="18"/>
      <c r="AX2546" s="18"/>
      <c r="AY2546" s="18"/>
      <c r="AZ2546" s="18"/>
      <c r="BA2546" s="18"/>
      <c r="BB2546" s="18"/>
      <c r="BC2546" s="18"/>
      <c r="BD2546" s="18"/>
      <c r="BE2546" s="18"/>
      <c r="BF2546" s="18"/>
      <c r="BG2546" s="18"/>
    </row>
    <row r="2547" spans="49:59" ht="18" customHeight="1">
      <c r="AW2547" s="18"/>
      <c r="AX2547" s="18"/>
      <c r="AY2547" s="18"/>
      <c r="AZ2547" s="18"/>
      <c r="BA2547" s="18"/>
      <c r="BB2547" s="18"/>
      <c r="BC2547" s="18"/>
      <c r="BD2547" s="18"/>
      <c r="BE2547" s="18"/>
      <c r="BF2547" s="18"/>
      <c r="BG2547" s="18"/>
    </row>
    <row r="2548" spans="49:59" ht="18" customHeight="1">
      <c r="AW2548" s="18"/>
      <c r="AX2548" s="18"/>
      <c r="AY2548" s="18"/>
      <c r="AZ2548" s="18"/>
      <c r="BA2548" s="18"/>
      <c r="BB2548" s="18"/>
      <c r="BC2548" s="18"/>
      <c r="BD2548" s="18"/>
      <c r="BE2548" s="18"/>
      <c r="BF2548" s="18"/>
      <c r="BG2548" s="18"/>
    </row>
    <row r="2549" spans="49:59" ht="18" customHeight="1">
      <c r="AW2549" s="18"/>
      <c r="AX2549" s="18"/>
      <c r="AY2549" s="18"/>
      <c r="AZ2549" s="18"/>
      <c r="BA2549" s="18"/>
      <c r="BB2549" s="18"/>
      <c r="BC2549" s="18"/>
      <c r="BD2549" s="18"/>
      <c r="BE2549" s="18"/>
      <c r="BF2549" s="18"/>
      <c r="BG2549" s="18"/>
    </row>
    <row r="2550" spans="49:59" ht="18" customHeight="1">
      <c r="AW2550" s="18"/>
      <c r="AX2550" s="18"/>
      <c r="AY2550" s="18"/>
      <c r="AZ2550" s="18"/>
      <c r="BA2550" s="18"/>
      <c r="BB2550" s="18"/>
      <c r="BC2550" s="18"/>
      <c r="BD2550" s="18"/>
      <c r="BE2550" s="18"/>
      <c r="BF2550" s="18"/>
      <c r="BG2550" s="18"/>
    </row>
    <row r="2551" spans="49:59" ht="18" customHeight="1">
      <c r="AW2551" s="18"/>
      <c r="AX2551" s="18"/>
      <c r="AY2551" s="18"/>
      <c r="AZ2551" s="18"/>
      <c r="BA2551" s="18"/>
      <c r="BB2551" s="18"/>
      <c r="BC2551" s="18"/>
      <c r="BD2551" s="18"/>
      <c r="BE2551" s="18"/>
      <c r="BF2551" s="18"/>
      <c r="BG2551" s="18"/>
    </row>
    <row r="2552" spans="49:59" ht="18" customHeight="1">
      <c r="AW2552" s="18"/>
      <c r="AX2552" s="18"/>
      <c r="AY2552" s="18"/>
      <c r="AZ2552" s="18"/>
      <c r="BA2552" s="18"/>
      <c r="BB2552" s="18"/>
      <c r="BC2552" s="18"/>
      <c r="BD2552" s="18"/>
      <c r="BE2552" s="18"/>
      <c r="BF2552" s="18"/>
      <c r="BG2552" s="18"/>
    </row>
    <row r="2553" spans="49:59" ht="18" customHeight="1">
      <c r="AW2553" s="18"/>
      <c r="AX2553" s="18"/>
      <c r="AY2553" s="18"/>
      <c r="AZ2553" s="18"/>
      <c r="BA2553" s="18"/>
      <c r="BB2553" s="18"/>
      <c r="BC2553" s="18"/>
      <c r="BD2553" s="18"/>
      <c r="BE2553" s="18"/>
      <c r="BF2553" s="18"/>
      <c r="BG2553" s="18"/>
    </row>
    <row r="2554" spans="49:59" ht="18" customHeight="1">
      <c r="AW2554" s="18"/>
      <c r="AX2554" s="18"/>
      <c r="AY2554" s="18"/>
      <c r="AZ2554" s="18"/>
      <c r="BA2554" s="18"/>
      <c r="BB2554" s="18"/>
      <c r="BC2554" s="18"/>
      <c r="BD2554" s="18"/>
      <c r="BE2554" s="18"/>
      <c r="BF2554" s="18"/>
      <c r="BG2554" s="18"/>
    </row>
    <row r="2555" spans="49:59" ht="18" customHeight="1">
      <c r="AW2555" s="18"/>
      <c r="AX2555" s="18"/>
      <c r="AY2555" s="18"/>
      <c r="AZ2555" s="18"/>
      <c r="BA2555" s="18"/>
      <c r="BB2555" s="18"/>
      <c r="BC2555" s="18"/>
      <c r="BD2555" s="18"/>
      <c r="BE2555" s="18"/>
      <c r="BF2555" s="18"/>
      <c r="BG2555" s="18"/>
    </row>
    <row r="2556" spans="49:59" ht="18" customHeight="1">
      <c r="AW2556" s="18"/>
      <c r="AX2556" s="18"/>
      <c r="AY2556" s="18"/>
      <c r="AZ2556" s="18"/>
      <c r="BA2556" s="18"/>
      <c r="BB2556" s="18"/>
      <c r="BC2556" s="18"/>
      <c r="BD2556" s="18"/>
      <c r="BE2556" s="18"/>
      <c r="BF2556" s="18"/>
      <c r="BG2556" s="18"/>
    </row>
    <row r="2557" spans="49:59" ht="18" customHeight="1">
      <c r="AW2557" s="18"/>
      <c r="AX2557" s="18"/>
      <c r="AY2557" s="18"/>
      <c r="AZ2557" s="18"/>
      <c r="BA2557" s="18"/>
      <c r="BB2557" s="18"/>
      <c r="BC2557" s="18"/>
      <c r="BD2557" s="18"/>
      <c r="BE2557" s="18"/>
      <c r="BF2557" s="18"/>
      <c r="BG2557" s="18"/>
    </row>
    <row r="2558" spans="49:59" ht="18" customHeight="1">
      <c r="AW2558" s="18"/>
      <c r="AX2558" s="18"/>
      <c r="AY2558" s="18"/>
      <c r="AZ2558" s="18"/>
      <c r="BA2558" s="18"/>
      <c r="BB2558" s="18"/>
      <c r="BC2558" s="18"/>
      <c r="BD2558" s="18"/>
      <c r="BE2558" s="18"/>
      <c r="BF2558" s="18"/>
      <c r="BG2558" s="18"/>
    </row>
    <row r="2559" spans="49:59" ht="18" customHeight="1">
      <c r="AW2559" s="18"/>
      <c r="AX2559" s="18"/>
      <c r="AY2559" s="18"/>
      <c r="AZ2559" s="18"/>
      <c r="BA2559" s="18"/>
      <c r="BB2559" s="18"/>
      <c r="BC2559" s="18"/>
      <c r="BD2559" s="18"/>
      <c r="BE2559" s="18"/>
      <c r="BF2559" s="18"/>
      <c r="BG2559" s="18"/>
    </row>
    <row r="2560" spans="49:59" ht="18" customHeight="1">
      <c r="AW2560" s="18"/>
      <c r="AX2560" s="18"/>
      <c r="AY2560" s="18"/>
      <c r="AZ2560" s="18"/>
      <c r="BA2560" s="18"/>
      <c r="BB2560" s="18"/>
      <c r="BC2560" s="18"/>
      <c r="BD2560" s="18"/>
      <c r="BE2560" s="18"/>
      <c r="BF2560" s="18"/>
      <c r="BG2560" s="18"/>
    </row>
    <row r="2561" spans="49:59" ht="18" customHeight="1">
      <c r="AW2561" s="18"/>
      <c r="AX2561" s="18"/>
      <c r="AY2561" s="18"/>
      <c r="AZ2561" s="18"/>
      <c r="BA2561" s="18"/>
      <c r="BB2561" s="18"/>
      <c r="BC2561" s="18"/>
      <c r="BD2561" s="18"/>
      <c r="BE2561" s="18"/>
      <c r="BF2561" s="18"/>
      <c r="BG2561" s="18"/>
    </row>
    <row r="2562" spans="49:59" ht="18" customHeight="1">
      <c r="AW2562" s="18"/>
      <c r="AX2562" s="18"/>
      <c r="AY2562" s="18"/>
      <c r="AZ2562" s="18"/>
      <c r="BA2562" s="18"/>
      <c r="BB2562" s="18"/>
      <c r="BC2562" s="18"/>
      <c r="BD2562" s="18"/>
      <c r="BE2562" s="18"/>
      <c r="BF2562" s="18"/>
      <c r="BG2562" s="18"/>
    </row>
    <row r="2563" spans="49:59" ht="18" customHeight="1">
      <c r="AW2563" s="18"/>
      <c r="AX2563" s="18"/>
      <c r="AY2563" s="18"/>
      <c r="AZ2563" s="18"/>
      <c r="BA2563" s="18"/>
      <c r="BB2563" s="18"/>
      <c r="BC2563" s="18"/>
      <c r="BD2563" s="18"/>
      <c r="BE2563" s="18"/>
      <c r="BF2563" s="18"/>
      <c r="BG2563" s="18"/>
    </row>
    <row r="2564" spans="49:59" ht="18" customHeight="1">
      <c r="AW2564" s="18"/>
      <c r="AX2564" s="18"/>
      <c r="AY2564" s="18"/>
      <c r="AZ2564" s="18"/>
      <c r="BA2564" s="18"/>
      <c r="BB2564" s="18"/>
      <c r="BC2564" s="18"/>
      <c r="BD2564" s="18"/>
      <c r="BE2564" s="18"/>
      <c r="BF2564" s="18"/>
      <c r="BG2564" s="18"/>
    </row>
    <row r="2565" spans="49:59" ht="18" customHeight="1">
      <c r="AW2565" s="18"/>
      <c r="AX2565" s="18"/>
      <c r="AY2565" s="18"/>
      <c r="AZ2565" s="18"/>
      <c r="BA2565" s="18"/>
      <c r="BB2565" s="18"/>
      <c r="BC2565" s="18"/>
      <c r="BD2565" s="18"/>
      <c r="BE2565" s="18"/>
      <c r="BF2565" s="18"/>
      <c r="BG2565" s="18"/>
    </row>
    <row r="2566" spans="49:59" ht="20.25" customHeight="1">
      <c r="AW2566" s="18"/>
      <c r="AX2566" s="18"/>
      <c r="AY2566" s="18"/>
      <c r="AZ2566" s="18"/>
      <c r="BA2566" s="18"/>
      <c r="BB2566" s="18"/>
      <c r="BC2566" s="18"/>
      <c r="BD2566" s="18"/>
      <c r="BE2566" s="18"/>
      <c r="BF2566" s="18"/>
      <c r="BG2566" s="18"/>
    </row>
    <row r="2567" spans="49:59" ht="18" customHeight="1">
      <c r="AW2567" s="73"/>
      <c r="AX2567" s="73"/>
      <c r="AY2567" s="73"/>
      <c r="AZ2567" s="73"/>
      <c r="BA2567" s="73"/>
      <c r="BB2567" s="73"/>
      <c r="BC2567" s="73"/>
      <c r="BD2567" s="73"/>
      <c r="BE2567" s="73"/>
      <c r="BF2567" s="73"/>
      <c r="BG2567" s="73"/>
    </row>
    <row r="2568" spans="49:59" ht="18" customHeight="1">
      <c r="AW2568" s="73"/>
      <c r="AX2568" s="73"/>
      <c r="AY2568" s="73"/>
      <c r="AZ2568" s="73"/>
      <c r="BA2568" s="73"/>
      <c r="BB2568" s="73"/>
      <c r="BC2568" s="73"/>
      <c r="BD2568" s="73"/>
      <c r="BE2568" s="73"/>
      <c r="BF2568" s="73"/>
      <c r="BG2568" s="73"/>
    </row>
    <row r="2569" spans="49:59" ht="18" customHeight="1">
      <c r="AW2569" s="73"/>
      <c r="AX2569" s="73"/>
      <c r="AY2569" s="73"/>
      <c r="AZ2569" s="73"/>
      <c r="BA2569" s="73"/>
      <c r="BB2569" s="73"/>
      <c r="BC2569" s="73"/>
      <c r="BD2569" s="73"/>
      <c r="BE2569" s="73"/>
      <c r="BF2569" s="73"/>
      <c r="BG2569" s="73"/>
    </row>
    <row r="2570" spans="49:59" ht="18" customHeight="1">
      <c r="AW2570" s="73"/>
      <c r="AX2570" s="73"/>
      <c r="AY2570" s="73"/>
      <c r="AZ2570" s="73"/>
      <c r="BA2570" s="73"/>
      <c r="BB2570" s="73"/>
      <c r="BC2570" s="73"/>
      <c r="BD2570" s="73"/>
      <c r="BE2570" s="73"/>
      <c r="BF2570" s="73"/>
      <c r="BG2570" s="73"/>
    </row>
    <row r="2571" spans="49:59" ht="18" customHeight="1">
      <c r="AW2571" s="73"/>
      <c r="AX2571" s="73"/>
      <c r="AY2571" s="73"/>
      <c r="AZ2571" s="73"/>
      <c r="BA2571" s="73"/>
      <c r="BB2571" s="73"/>
      <c r="BC2571" s="73"/>
      <c r="BD2571" s="73"/>
      <c r="BE2571" s="73"/>
      <c r="BF2571" s="73"/>
      <c r="BG2571" s="73"/>
    </row>
    <row r="2572" spans="49:59" ht="18" customHeight="1">
      <c r="AW2572" s="73"/>
      <c r="AX2572" s="73"/>
      <c r="AY2572" s="73"/>
      <c r="AZ2572" s="73"/>
      <c r="BA2572" s="73"/>
      <c r="BB2572" s="73"/>
      <c r="BC2572" s="73"/>
      <c r="BD2572" s="73"/>
      <c r="BE2572" s="73"/>
      <c r="BF2572" s="73"/>
      <c r="BG2572" s="73"/>
    </row>
    <row r="2573" spans="49:59" ht="3" customHeight="1">
      <c r="AW2573" s="73"/>
      <c r="AX2573" s="73"/>
      <c r="AY2573" s="73"/>
      <c r="AZ2573" s="73"/>
      <c r="BA2573" s="73"/>
      <c r="BB2573" s="73"/>
      <c r="BC2573" s="73"/>
      <c r="BD2573" s="73"/>
      <c r="BE2573" s="73"/>
      <c r="BF2573" s="73"/>
      <c r="BG2573" s="73"/>
    </row>
    <row r="2574" spans="49:59" ht="18" customHeight="1">
      <c r="AW2574" s="269"/>
      <c r="AX2574" s="269"/>
      <c r="AY2574" s="269"/>
      <c r="AZ2574" s="269"/>
      <c r="BA2574" s="269"/>
      <c r="BB2574" s="269"/>
      <c r="BC2574" s="269"/>
      <c r="BD2574" s="269"/>
      <c r="BE2574" s="269"/>
      <c r="BF2574" s="134"/>
      <c r="BG2574" s="134"/>
    </row>
    <row r="2575" spans="49:59" ht="18" customHeight="1">
      <c r="AW2575" s="18"/>
      <c r="AX2575" s="18"/>
      <c r="AY2575" s="18"/>
      <c r="AZ2575" s="18"/>
      <c r="BA2575" s="18"/>
      <c r="BB2575" s="18"/>
      <c r="BC2575" s="18"/>
      <c r="BD2575" s="18"/>
      <c r="BE2575" s="18"/>
      <c r="BF2575" s="73"/>
      <c r="BG2575" s="73"/>
    </row>
    <row r="2576" spans="48:59" ht="18" customHeight="1">
      <c r="AV2576" s="18"/>
      <c r="AW2576" s="18"/>
      <c r="AX2576" s="18"/>
      <c r="AY2576" s="18"/>
      <c r="AZ2576" s="18"/>
      <c r="BA2576" s="18"/>
      <c r="BB2576" s="18"/>
      <c r="BC2576" s="18"/>
      <c r="BD2576" s="18"/>
      <c r="BE2576" s="18"/>
      <c r="BF2576" s="18"/>
      <c r="BG2576" s="18"/>
    </row>
    <row r="2577" spans="39:59" ht="18" customHeight="1">
      <c r="AM2577" s="600" t="str">
        <f>+' -'!$E$21</f>
        <v>Програмата за финансов анализ е лицензирана на:</v>
      </c>
      <c r="AN2577" s="581"/>
      <c r="AO2577" s="581"/>
      <c r="AP2577" s="581"/>
      <c r="AQ2577" s="581"/>
      <c r="AR2577" s="581"/>
      <c r="AS2577" s="581"/>
      <c r="AT2577" s="581"/>
      <c r="AU2577" s="581"/>
      <c r="AV2577" s="18"/>
      <c r="AW2577" s="18"/>
      <c r="AX2577" s="18"/>
      <c r="AY2577" s="18"/>
      <c r="AZ2577" s="18"/>
      <c r="BA2577" s="18"/>
      <c r="BB2577" s="18"/>
      <c r="BC2577" s="18"/>
      <c r="BD2577" s="18"/>
      <c r="BE2577" s="18"/>
      <c r="BF2577" s="18"/>
      <c r="BG2577" s="18"/>
    </row>
    <row r="2578" spans="39:60" ht="18" customHeight="1">
      <c r="AM2578" s="601"/>
      <c r="AN2578" s="10"/>
      <c r="AO2578" s="10"/>
      <c r="AV2578" s="18"/>
      <c r="AW2578" s="18"/>
      <c r="AX2578" s="18"/>
      <c r="AY2578" s="18"/>
      <c r="AZ2578" s="18"/>
      <c r="BA2578" s="18"/>
      <c r="BB2578" s="18"/>
      <c r="BC2578" s="18"/>
      <c r="BD2578" s="18"/>
      <c r="BE2578" s="18"/>
      <c r="BF2578" s="18"/>
      <c r="BG2578" s="263" t="s">
        <v>861</v>
      </c>
      <c r="BH2578" s="263" t="s">
        <v>861</v>
      </c>
    </row>
    <row r="2579" spans="39:60" ht="18" customHeight="1">
      <c r="AM2579" s="600" t="str">
        <f>+' -'!$E$22</f>
        <v>"В И Н З А В О Д"  А Д - гр. АСЕНОВГРАД</v>
      </c>
      <c r="AN2579" s="581"/>
      <c r="AO2579" s="581"/>
      <c r="AP2579" s="581"/>
      <c r="AQ2579" s="581"/>
      <c r="AR2579" s="581"/>
      <c r="AS2579" s="581"/>
      <c r="AT2579" s="581"/>
      <c r="AU2579" s="581"/>
      <c r="BF2579" s="314" t="s">
        <v>862</v>
      </c>
      <c r="BG2579" s="313" t="str">
        <f>$P$275</f>
        <v>Текущ период</v>
      </c>
      <c r="BH2579" s="318" t="str">
        <f>$S$275</f>
        <v>Предходен период</v>
      </c>
    </row>
    <row r="2580" spans="58:60" ht="18" customHeight="1">
      <c r="BF2580" s="315" t="s">
        <v>1254</v>
      </c>
      <c r="BG2580" s="26"/>
      <c r="BH2580" s="26"/>
    </row>
    <row r="2581" spans="58:60" ht="18" customHeight="1">
      <c r="BF2581" s="49" t="s">
        <v>1584</v>
      </c>
      <c r="BG2581" s="26"/>
      <c r="BH2581" s="26"/>
    </row>
    <row r="2582" spans="58:60" ht="18" customHeight="1">
      <c r="BF2582" s="28" t="s">
        <v>1585</v>
      </c>
      <c r="BG2582" s="317">
        <f>D12</f>
        <v>1480</v>
      </c>
      <c r="BH2582" s="317">
        <f>E12</f>
        <v>1476</v>
      </c>
    </row>
    <row r="2583" spans="58:60" ht="18" customHeight="1">
      <c r="BF2583" s="8" t="s">
        <v>2435</v>
      </c>
      <c r="BG2583" s="317">
        <f aca="true" t="shared" si="82" ref="BG2583:BH2588">D13</f>
        <v>2822</v>
      </c>
      <c r="BH2583" s="317">
        <f t="shared" si="82"/>
        <v>2906</v>
      </c>
    </row>
    <row r="2584" spans="58:60" ht="18" customHeight="1">
      <c r="BF2584" s="4" t="s">
        <v>2436</v>
      </c>
      <c r="BG2584" s="317">
        <f t="shared" si="82"/>
        <v>848</v>
      </c>
      <c r="BH2584" s="317">
        <f t="shared" si="82"/>
        <v>991</v>
      </c>
    </row>
    <row r="2585" spans="58:60" ht="18" customHeight="1">
      <c r="BF2585" s="4" t="s">
        <v>2437</v>
      </c>
      <c r="BG2585" s="317">
        <f t="shared" si="82"/>
        <v>801</v>
      </c>
      <c r="BH2585" s="317">
        <f t="shared" si="82"/>
        <v>849</v>
      </c>
    </row>
    <row r="2586" spans="58:60" ht="18" customHeight="1">
      <c r="BF2586" s="4" t="s">
        <v>2438</v>
      </c>
      <c r="BG2586" s="317">
        <f t="shared" si="82"/>
        <v>65</v>
      </c>
      <c r="BH2586" s="317">
        <f t="shared" si="82"/>
        <v>74</v>
      </c>
    </row>
    <row r="2587" spans="58:60" ht="18" customHeight="1">
      <c r="BF2587" s="4" t="s">
        <v>2439</v>
      </c>
      <c r="BG2587" s="317">
        <f t="shared" si="82"/>
        <v>12</v>
      </c>
      <c r="BH2587" s="317">
        <f t="shared" si="82"/>
        <v>30</v>
      </c>
    </row>
    <row r="2588" spans="58:60" ht="18" customHeight="1">
      <c r="BF2588" s="6" t="s">
        <v>863</v>
      </c>
      <c r="BG2588" s="317">
        <f t="shared" si="82"/>
        <v>744</v>
      </c>
      <c r="BH2588" s="317">
        <f t="shared" si="82"/>
        <v>658</v>
      </c>
    </row>
    <row r="2589" spans="58:60" ht="18" customHeight="1">
      <c r="BF2589" s="6" t="s">
        <v>864</v>
      </c>
      <c r="BG2589" s="6"/>
      <c r="BH2589" s="6"/>
    </row>
    <row r="2590" spans="58:60" ht="18" customHeight="1">
      <c r="BF2590" s="8" t="s">
        <v>2199</v>
      </c>
      <c r="BG2590" s="317">
        <f>D19</f>
        <v>1</v>
      </c>
      <c r="BH2590" s="317">
        <f>E19</f>
        <v>1</v>
      </c>
    </row>
    <row r="2591" spans="58:60" ht="18" customHeight="1">
      <c r="BF2591" s="50" t="s">
        <v>854</v>
      </c>
      <c r="BG2591" s="317">
        <f>D20</f>
        <v>6773</v>
      </c>
      <c r="BH2591" s="317">
        <f>E20</f>
        <v>6985</v>
      </c>
    </row>
    <row r="2592" spans="58:60" ht="18" customHeight="1">
      <c r="BF2592" s="27" t="s">
        <v>855</v>
      </c>
      <c r="BG2592" s="6"/>
      <c r="BH2592" s="6"/>
    </row>
    <row r="2593" spans="58:60" ht="18" customHeight="1">
      <c r="BF2593" s="28" t="s">
        <v>856</v>
      </c>
      <c r="BG2593" s="317">
        <f aca="true" t="shared" si="83" ref="BG2593:BH2597">D22</f>
        <v>0</v>
      </c>
      <c r="BH2593" s="317">
        <f t="shared" si="83"/>
        <v>0</v>
      </c>
    </row>
    <row r="2594" spans="58:60" ht="18" customHeight="1">
      <c r="BF2594" s="8" t="s">
        <v>2200</v>
      </c>
      <c r="BG2594" s="317">
        <f t="shared" si="83"/>
        <v>1</v>
      </c>
      <c r="BH2594" s="317">
        <f t="shared" si="83"/>
        <v>6</v>
      </c>
    </row>
    <row r="2595" spans="58:60" ht="18" customHeight="1">
      <c r="BF2595" s="4" t="s">
        <v>2201</v>
      </c>
      <c r="BG2595" s="317">
        <f t="shared" si="83"/>
        <v>0</v>
      </c>
      <c r="BH2595" s="317">
        <f t="shared" si="83"/>
        <v>0</v>
      </c>
    </row>
    <row r="2596" spans="58:60" ht="18" customHeight="1">
      <c r="BF2596" s="4" t="s">
        <v>865</v>
      </c>
      <c r="BG2596" s="317">
        <f t="shared" si="83"/>
        <v>0</v>
      </c>
      <c r="BH2596" s="317">
        <f t="shared" si="83"/>
        <v>0</v>
      </c>
    </row>
    <row r="2597" spans="58:60" ht="18" customHeight="1">
      <c r="BF2597" s="9" t="s">
        <v>2202</v>
      </c>
      <c r="BG2597" s="317">
        <f t="shared" si="83"/>
        <v>1</v>
      </c>
      <c r="BH2597" s="317">
        <f t="shared" si="83"/>
        <v>6</v>
      </c>
    </row>
    <row r="2598" spans="58:60" ht="18" customHeight="1">
      <c r="BF2598" s="27" t="s">
        <v>2203</v>
      </c>
      <c r="BG2598" s="6"/>
      <c r="BH2598" s="6"/>
    </row>
    <row r="2599" spans="58:60" ht="18" customHeight="1">
      <c r="BF2599" s="28" t="s">
        <v>2204</v>
      </c>
      <c r="BG2599" s="317">
        <f aca="true" t="shared" si="84" ref="BG2599:BH2605">D28</f>
        <v>0</v>
      </c>
      <c r="BH2599" s="317">
        <f t="shared" si="84"/>
        <v>0</v>
      </c>
    </row>
    <row r="2600" spans="58:60" ht="18" customHeight="1">
      <c r="BF2600" s="8" t="s">
        <v>2208</v>
      </c>
      <c r="BG2600" s="317">
        <f t="shared" si="84"/>
        <v>0</v>
      </c>
      <c r="BH2600" s="317">
        <f t="shared" si="84"/>
        <v>0</v>
      </c>
    </row>
    <row r="2601" spans="58:60" ht="18" customHeight="1">
      <c r="BF2601" s="4" t="s">
        <v>2209</v>
      </c>
      <c r="BG2601" s="317">
        <f t="shared" si="84"/>
        <v>0</v>
      </c>
      <c r="BH2601" s="317">
        <f t="shared" si="84"/>
        <v>0</v>
      </c>
    </row>
    <row r="2602" spans="58:60" ht="18" customHeight="1">
      <c r="BF2602" s="4" t="s">
        <v>2210</v>
      </c>
      <c r="BG2602" s="317">
        <f t="shared" si="84"/>
        <v>0</v>
      </c>
      <c r="BH2602" s="317">
        <f t="shared" si="84"/>
        <v>0</v>
      </c>
    </row>
    <row r="2603" spans="58:60" ht="18" customHeight="1">
      <c r="BF2603" s="4" t="s">
        <v>2211</v>
      </c>
      <c r="BG2603" s="317">
        <f t="shared" si="84"/>
        <v>0</v>
      </c>
      <c r="BH2603" s="317">
        <f t="shared" si="84"/>
        <v>0</v>
      </c>
    </row>
    <row r="2604" spans="58:60" ht="18" customHeight="1">
      <c r="BF2604" s="4" t="s">
        <v>2205</v>
      </c>
      <c r="BG2604" s="317">
        <f t="shared" si="84"/>
        <v>0</v>
      </c>
      <c r="BH2604" s="317">
        <f t="shared" si="84"/>
        <v>0</v>
      </c>
    </row>
    <row r="2605" spans="58:60" ht="18" customHeight="1">
      <c r="BF2605" s="4" t="s">
        <v>2206</v>
      </c>
      <c r="BG2605" s="317">
        <f t="shared" si="84"/>
        <v>0</v>
      </c>
      <c r="BH2605" s="317">
        <f t="shared" si="84"/>
        <v>0</v>
      </c>
    </row>
    <row r="2606" spans="58:60" ht="18" customHeight="1">
      <c r="BF2606" s="4" t="s">
        <v>2207</v>
      </c>
      <c r="BG2606" s="317">
        <f aca="true" t="shared" si="85" ref="BG2606:BH2608">D40</f>
        <v>1906</v>
      </c>
      <c r="BH2606" s="317">
        <f t="shared" si="85"/>
        <v>0</v>
      </c>
    </row>
    <row r="2607" spans="58:60" ht="18" customHeight="1">
      <c r="BF2607" s="4" t="s">
        <v>2212</v>
      </c>
      <c r="BG2607" s="317">
        <f t="shared" si="85"/>
        <v>961</v>
      </c>
      <c r="BH2607" s="317">
        <f t="shared" si="85"/>
        <v>0</v>
      </c>
    </row>
    <row r="2608" spans="58:60" ht="18" customHeight="1">
      <c r="BF2608" s="4" t="s">
        <v>499</v>
      </c>
      <c r="BG2608" s="317">
        <f t="shared" si="85"/>
        <v>945</v>
      </c>
      <c r="BH2608" s="317">
        <f t="shared" si="85"/>
        <v>0</v>
      </c>
    </row>
    <row r="2609" spans="58:60" ht="18" customHeight="1">
      <c r="BF2609" s="4" t="s">
        <v>866</v>
      </c>
      <c r="BG2609" s="317">
        <f>D44</f>
        <v>0</v>
      </c>
      <c r="BH2609" s="317">
        <f>E44</f>
        <v>0</v>
      </c>
    </row>
    <row r="2610" spans="58:60" ht="18" customHeight="1">
      <c r="BF2610" s="5" t="s">
        <v>500</v>
      </c>
      <c r="BG2610" s="317">
        <f>D45</f>
        <v>1906</v>
      </c>
      <c r="BH2610" s="317">
        <f>E45</f>
        <v>0</v>
      </c>
    </row>
    <row r="2611" spans="58:60" ht="18" customHeight="1">
      <c r="BF2611" s="12"/>
      <c r="BG2611" s="10"/>
      <c r="BH2611" s="10"/>
    </row>
    <row r="2612" spans="58:60" ht="18" customHeight="1">
      <c r="BF2612" s="11" t="s">
        <v>1404</v>
      </c>
      <c r="BG2612" s="51"/>
      <c r="BH2612" s="51"/>
    </row>
    <row r="2613" spans="58:60" ht="18" customHeight="1">
      <c r="BF2613" s="314" t="s">
        <v>862</v>
      </c>
      <c r="BG2613" s="313" t="str">
        <f>$BG$2579</f>
        <v>Текущ период</v>
      </c>
      <c r="BH2613" s="318" t="str">
        <f>$BH$2579</f>
        <v>Предходен период</v>
      </c>
    </row>
    <row r="2614" spans="58:60" ht="18" customHeight="1">
      <c r="BF2614" s="49" t="s">
        <v>1590</v>
      </c>
      <c r="BG2614" s="26"/>
      <c r="BH2614" s="26"/>
    </row>
    <row r="2615" spans="58:60" ht="18" customHeight="1">
      <c r="BF2615" s="28" t="s">
        <v>1400</v>
      </c>
      <c r="BG2615" s="317">
        <f aca="true" t="shared" si="86" ref="BG2615:BH2618">D53</f>
        <v>0</v>
      </c>
      <c r="BH2615" s="317">
        <f t="shared" si="86"/>
        <v>0</v>
      </c>
    </row>
    <row r="2616" spans="58:60" ht="18" customHeight="1">
      <c r="BF2616" s="8" t="s">
        <v>1401</v>
      </c>
      <c r="BG2616" s="317">
        <f t="shared" si="86"/>
        <v>0</v>
      </c>
      <c r="BH2616" s="317">
        <f t="shared" si="86"/>
        <v>0</v>
      </c>
    </row>
    <row r="2617" spans="58:60" ht="18" customHeight="1">
      <c r="BF2617" s="5" t="s">
        <v>1047</v>
      </c>
      <c r="BG2617" s="317">
        <f t="shared" si="86"/>
        <v>0</v>
      </c>
      <c r="BH2617" s="317">
        <f t="shared" si="86"/>
        <v>0</v>
      </c>
    </row>
    <row r="2618" spans="58:60" ht="18" customHeight="1">
      <c r="BF2618" s="4" t="s">
        <v>1402</v>
      </c>
      <c r="BG2618" s="317">
        <f t="shared" si="86"/>
        <v>0</v>
      </c>
      <c r="BH2618" s="317">
        <f t="shared" si="86"/>
        <v>0</v>
      </c>
    </row>
    <row r="2619" spans="58:60" ht="18" customHeight="1">
      <c r="BF2619" s="9" t="s">
        <v>501</v>
      </c>
      <c r="BG2619" s="317">
        <f>D58</f>
        <v>8680</v>
      </c>
      <c r="BH2619" s="317">
        <f>E58</f>
        <v>6991</v>
      </c>
    </row>
    <row r="2620" spans="58:60" ht="18" customHeight="1">
      <c r="BF2620" s="316" t="s">
        <v>502</v>
      </c>
      <c r="BG2620" s="6"/>
      <c r="BH2620" s="6"/>
    </row>
    <row r="2621" spans="58:60" ht="18" customHeight="1">
      <c r="BF2621" s="49" t="s">
        <v>503</v>
      </c>
      <c r="BG2621" s="26"/>
      <c r="BH2621" s="26"/>
    </row>
    <row r="2622" spans="58:60" ht="18" customHeight="1">
      <c r="BF2622" s="28" t="s">
        <v>504</v>
      </c>
      <c r="BG2622" s="317">
        <f aca="true" t="shared" si="87" ref="BG2622:BH2629">D61</f>
        <v>1001</v>
      </c>
      <c r="BH2622" s="317">
        <f t="shared" si="87"/>
        <v>990</v>
      </c>
    </row>
    <row r="2623" spans="58:60" ht="18" customHeight="1">
      <c r="BF2623" s="8" t="s">
        <v>505</v>
      </c>
      <c r="BG2623" s="317">
        <f t="shared" si="87"/>
        <v>6205</v>
      </c>
      <c r="BH2623" s="317">
        <f t="shared" si="87"/>
        <v>5571</v>
      </c>
    </row>
    <row r="2624" spans="58:60" ht="18" customHeight="1">
      <c r="BF2624" s="4" t="s">
        <v>506</v>
      </c>
      <c r="BG2624" s="317">
        <f t="shared" si="87"/>
        <v>13</v>
      </c>
      <c r="BH2624" s="317">
        <f t="shared" si="87"/>
        <v>11</v>
      </c>
    </row>
    <row r="2625" spans="58:60" ht="18" customHeight="1">
      <c r="BF2625" s="4" t="s">
        <v>867</v>
      </c>
      <c r="BG2625" s="317">
        <f t="shared" si="87"/>
        <v>0</v>
      </c>
      <c r="BH2625" s="317">
        <f t="shared" si="87"/>
        <v>0</v>
      </c>
    </row>
    <row r="2626" spans="58:60" ht="18" customHeight="1">
      <c r="BF2626" s="4" t="s">
        <v>507</v>
      </c>
      <c r="BG2626" s="317">
        <f t="shared" si="87"/>
        <v>0</v>
      </c>
      <c r="BH2626" s="317">
        <f t="shared" si="87"/>
        <v>0</v>
      </c>
    </row>
    <row r="2627" spans="58:60" ht="18" customHeight="1">
      <c r="BF2627" s="4" t="s">
        <v>508</v>
      </c>
      <c r="BG2627" s="317">
        <f t="shared" si="87"/>
        <v>0</v>
      </c>
      <c r="BH2627" s="317">
        <f t="shared" si="87"/>
        <v>0</v>
      </c>
    </row>
    <row r="2628" spans="58:60" ht="18" customHeight="1">
      <c r="BF2628" s="4" t="s">
        <v>509</v>
      </c>
      <c r="BG2628" s="317">
        <f t="shared" si="87"/>
        <v>0</v>
      </c>
      <c r="BH2628" s="317">
        <f t="shared" si="87"/>
        <v>0</v>
      </c>
    </row>
    <row r="2629" spans="58:60" ht="18" customHeight="1">
      <c r="BF2629" s="50" t="s">
        <v>854</v>
      </c>
      <c r="BG2629" s="317">
        <f t="shared" si="87"/>
        <v>7219</v>
      </c>
      <c r="BH2629" s="317">
        <f t="shared" si="87"/>
        <v>6572</v>
      </c>
    </row>
    <row r="2630" spans="58:60" ht="18" customHeight="1">
      <c r="BF2630" s="27" t="s">
        <v>510</v>
      </c>
      <c r="BG2630" s="6"/>
      <c r="BH2630" s="6"/>
    </row>
    <row r="2631" spans="58:60" ht="18" customHeight="1">
      <c r="BF2631" s="28" t="s">
        <v>511</v>
      </c>
      <c r="BG2631" s="317">
        <f aca="true" t="shared" si="88" ref="BG2631:BH2636">D70</f>
        <v>3936</v>
      </c>
      <c r="BH2631" s="317">
        <f t="shared" si="88"/>
        <v>3542</v>
      </c>
    </row>
    <row r="2632" spans="58:60" ht="18" customHeight="1">
      <c r="BF2632" s="8" t="s">
        <v>1037</v>
      </c>
      <c r="BG2632" s="317">
        <f t="shared" si="88"/>
        <v>1169</v>
      </c>
      <c r="BH2632" s="317">
        <f t="shared" si="88"/>
        <v>1495</v>
      </c>
    </row>
    <row r="2633" spans="58:60" ht="18" customHeight="1">
      <c r="BF2633" s="4" t="s">
        <v>2426</v>
      </c>
      <c r="BG2633" s="317">
        <f t="shared" si="88"/>
        <v>0</v>
      </c>
      <c r="BH2633" s="317">
        <f t="shared" si="88"/>
        <v>0</v>
      </c>
    </row>
    <row r="2634" spans="58:60" ht="18" customHeight="1">
      <c r="BF2634" s="4" t="s">
        <v>1038</v>
      </c>
      <c r="BG2634" s="317">
        <f t="shared" si="88"/>
        <v>157</v>
      </c>
      <c r="BH2634" s="317">
        <f t="shared" si="88"/>
        <v>146</v>
      </c>
    </row>
    <row r="2635" spans="58:60" ht="18" customHeight="1">
      <c r="BF2635" s="4" t="s">
        <v>1039</v>
      </c>
      <c r="BG2635" s="317">
        <f t="shared" si="88"/>
        <v>33</v>
      </c>
      <c r="BH2635" s="317">
        <f t="shared" si="88"/>
        <v>18</v>
      </c>
    </row>
    <row r="2636" spans="58:60" ht="18" customHeight="1">
      <c r="BF2636" s="4" t="s">
        <v>1040</v>
      </c>
      <c r="BG2636" s="317">
        <f t="shared" si="88"/>
        <v>146</v>
      </c>
      <c r="BH2636" s="317">
        <f t="shared" si="88"/>
        <v>293</v>
      </c>
    </row>
    <row r="2637" spans="58:60" ht="18" customHeight="1">
      <c r="BF2637" s="9" t="s">
        <v>2202</v>
      </c>
      <c r="BG2637" s="317">
        <f>D78</f>
        <v>5441</v>
      </c>
      <c r="BH2637" s="317">
        <f>E78</f>
        <v>5494</v>
      </c>
    </row>
    <row r="2638" spans="58:60" ht="18" customHeight="1">
      <c r="BF2638" s="27" t="s">
        <v>1041</v>
      </c>
      <c r="BG2638" s="6"/>
      <c r="BH2638" s="6"/>
    </row>
    <row r="2639" spans="58:60" ht="18" customHeight="1">
      <c r="BF2639" s="28" t="s">
        <v>2427</v>
      </c>
      <c r="BG2639" s="317">
        <f>D80</f>
        <v>0</v>
      </c>
      <c r="BH2639" s="317">
        <f>E80</f>
        <v>0</v>
      </c>
    </row>
    <row r="2640" spans="58:60" ht="18" customHeight="1">
      <c r="BF2640" s="8" t="s">
        <v>2428</v>
      </c>
      <c r="BG2640" s="317">
        <f>D85</f>
        <v>0</v>
      </c>
      <c r="BH2640" s="317">
        <f>E85</f>
        <v>0</v>
      </c>
    </row>
    <row r="2641" spans="58:60" ht="18" customHeight="1">
      <c r="BF2641" s="4" t="s">
        <v>1042</v>
      </c>
      <c r="BG2641" s="317">
        <f>D86</f>
        <v>0</v>
      </c>
      <c r="BH2641" s="317">
        <f>E86</f>
        <v>0</v>
      </c>
    </row>
    <row r="2642" spans="58:60" ht="18" customHeight="1">
      <c r="BF2642" s="4" t="s">
        <v>1160</v>
      </c>
      <c r="BG2642" s="317">
        <f>D84</f>
        <v>0</v>
      </c>
      <c r="BH2642" s="317">
        <f>E84</f>
        <v>0</v>
      </c>
    </row>
    <row r="2643" spans="58:60" ht="18" customHeight="1">
      <c r="BF2643" s="4" t="s">
        <v>1171</v>
      </c>
      <c r="BG2643" s="317">
        <f>D87</f>
        <v>0</v>
      </c>
      <c r="BH2643" s="317">
        <f>E87</f>
        <v>0</v>
      </c>
    </row>
    <row r="2644" spans="58:60" ht="18" customHeight="1">
      <c r="BF2644" s="9" t="s">
        <v>500</v>
      </c>
      <c r="BG2644" s="317">
        <f>D88</f>
        <v>0</v>
      </c>
      <c r="BH2644" s="317">
        <f>E88</f>
        <v>0</v>
      </c>
    </row>
    <row r="2645" spans="58:60" ht="18" customHeight="1">
      <c r="BF2645" s="27" t="s">
        <v>1043</v>
      </c>
      <c r="BG2645" s="6"/>
      <c r="BH2645" s="6"/>
    </row>
    <row r="2646" spans="58:60" ht="18" customHeight="1">
      <c r="BF2646" s="28" t="s">
        <v>1044</v>
      </c>
      <c r="BG2646" s="317">
        <f aca="true" t="shared" si="89" ref="BG2646:BH2655">D90</f>
        <v>93</v>
      </c>
      <c r="BH2646" s="317">
        <f t="shared" si="89"/>
        <v>38</v>
      </c>
    </row>
    <row r="2647" spans="58:60" ht="18" customHeight="1">
      <c r="BF2647" s="8" t="s">
        <v>1172</v>
      </c>
      <c r="BG2647" s="317">
        <f t="shared" si="89"/>
        <v>32</v>
      </c>
      <c r="BH2647" s="317">
        <f t="shared" si="89"/>
        <v>201</v>
      </c>
    </row>
    <row r="2648" spans="58:60" ht="18" customHeight="1">
      <c r="BF2648" s="4" t="s">
        <v>1045</v>
      </c>
      <c r="BG2648" s="317">
        <f t="shared" si="89"/>
        <v>0</v>
      </c>
      <c r="BH2648" s="317">
        <f t="shared" si="89"/>
        <v>0</v>
      </c>
    </row>
    <row r="2649" spans="58:60" ht="18" customHeight="1">
      <c r="BF2649" s="4" t="s">
        <v>1046</v>
      </c>
      <c r="BG2649" s="317">
        <f t="shared" si="89"/>
        <v>0</v>
      </c>
      <c r="BH2649" s="317">
        <f t="shared" si="89"/>
        <v>0</v>
      </c>
    </row>
    <row r="2650" spans="58:60" ht="18" customHeight="1">
      <c r="BF2650" s="4" t="s">
        <v>1314</v>
      </c>
      <c r="BG2650" s="317">
        <f t="shared" si="89"/>
        <v>0</v>
      </c>
      <c r="BH2650" s="317">
        <f t="shared" si="89"/>
        <v>0</v>
      </c>
    </row>
    <row r="2651" spans="58:60" ht="18" customHeight="1">
      <c r="BF2651" s="5" t="s">
        <v>1047</v>
      </c>
      <c r="BG2651" s="317">
        <f t="shared" si="89"/>
        <v>125</v>
      </c>
      <c r="BH2651" s="317">
        <f t="shared" si="89"/>
        <v>239</v>
      </c>
    </row>
    <row r="2652" spans="58:60" ht="18" customHeight="1">
      <c r="BF2652" s="4" t="s">
        <v>1402</v>
      </c>
      <c r="BG2652" s="317">
        <f t="shared" si="89"/>
        <v>24</v>
      </c>
      <c r="BH2652" s="317">
        <f t="shared" si="89"/>
        <v>21</v>
      </c>
    </row>
    <row r="2653" spans="58:60" ht="18" customHeight="1">
      <c r="BF2653" s="9" t="s">
        <v>1048</v>
      </c>
      <c r="BG2653" s="317">
        <f t="shared" si="89"/>
        <v>12809</v>
      </c>
      <c r="BH2653" s="317">
        <f t="shared" si="89"/>
        <v>12326</v>
      </c>
    </row>
    <row r="2654" spans="58:60" ht="18" customHeight="1">
      <c r="BF2654" s="14" t="s">
        <v>1403</v>
      </c>
      <c r="BG2654" s="317">
        <f t="shared" si="89"/>
        <v>21489</v>
      </c>
      <c r="BH2654" s="317">
        <f t="shared" si="89"/>
        <v>19317</v>
      </c>
    </row>
    <row r="2655" spans="58:60" ht="18" customHeight="1">
      <c r="BF2655" s="15" t="s">
        <v>1406</v>
      </c>
      <c r="BG2655" s="317">
        <f t="shared" si="89"/>
        <v>0</v>
      </c>
      <c r="BH2655" s="317">
        <f t="shared" si="89"/>
        <v>0</v>
      </c>
    </row>
    <row r="2656" spans="58:60" ht="18" customHeight="1">
      <c r="BF2656" s="13"/>
      <c r="BG2656" s="10"/>
      <c r="BH2656" s="10"/>
    </row>
    <row r="2657" spans="58:60" ht="18" customHeight="1">
      <c r="BF2657" s="13"/>
      <c r="BG2657" s="10"/>
      <c r="BH2657" s="10"/>
    </row>
    <row r="2658" spans="58:60" ht="18" customHeight="1">
      <c r="BF2658" s="314" t="s">
        <v>862</v>
      </c>
      <c r="BG2658" s="313" t="str">
        <f>$BG$2579</f>
        <v>Текущ период</v>
      </c>
      <c r="BH2658" s="318" t="str">
        <f>$BH$2579</f>
        <v>Предходен период</v>
      </c>
    </row>
    <row r="2659" spans="58:60" ht="18" customHeight="1">
      <c r="BF2659" s="16" t="s">
        <v>1408</v>
      </c>
      <c r="BG2659" s="6"/>
      <c r="BH2659" s="6"/>
    </row>
    <row r="2660" spans="58:60" ht="18" customHeight="1">
      <c r="BF2660" s="26" t="s">
        <v>1409</v>
      </c>
      <c r="BG2660" s="26"/>
      <c r="BH2660" s="26"/>
    </row>
    <row r="2661" spans="58:60" ht="18" customHeight="1">
      <c r="BF2661" s="52" t="s">
        <v>1410</v>
      </c>
      <c r="BG2661" s="317">
        <f>D108</f>
        <v>10017</v>
      </c>
      <c r="BH2661" s="317">
        <f>E108</f>
        <v>10017</v>
      </c>
    </row>
    <row r="2662" spans="58:60" ht="18" customHeight="1">
      <c r="BF2662" s="16" t="s">
        <v>1411</v>
      </c>
      <c r="BG2662" s="317">
        <f aca="true" t="shared" si="90" ref="BG2662:BH2665">D111</f>
        <v>0</v>
      </c>
      <c r="BH2662" s="317">
        <f t="shared" si="90"/>
        <v>0</v>
      </c>
    </row>
    <row r="2663" spans="58:60" ht="18" customHeight="1">
      <c r="BF2663" s="15" t="s">
        <v>1412</v>
      </c>
      <c r="BG2663" s="317">
        <f t="shared" si="90"/>
        <v>0</v>
      </c>
      <c r="BH2663" s="317">
        <f t="shared" si="90"/>
        <v>0</v>
      </c>
    </row>
    <row r="2664" spans="58:60" ht="18" customHeight="1">
      <c r="BF2664" s="15" t="s">
        <v>553</v>
      </c>
      <c r="BG2664" s="317">
        <f t="shared" si="90"/>
        <v>0</v>
      </c>
      <c r="BH2664" s="317">
        <f t="shared" si="90"/>
        <v>0</v>
      </c>
    </row>
    <row r="2665" spans="58:60" ht="18" customHeight="1">
      <c r="BF2665" s="9" t="s">
        <v>854</v>
      </c>
      <c r="BG2665" s="317">
        <f t="shared" si="90"/>
        <v>10017</v>
      </c>
      <c r="BH2665" s="317">
        <f t="shared" si="90"/>
        <v>10017</v>
      </c>
    </row>
    <row r="2666" spans="58:60" ht="18" customHeight="1">
      <c r="BF2666" s="6" t="s">
        <v>1413</v>
      </c>
      <c r="BG2666" s="6"/>
      <c r="BH2666" s="6"/>
    </row>
    <row r="2667" spans="58:60" ht="18" customHeight="1">
      <c r="BF2667" s="53" t="s">
        <v>1414</v>
      </c>
      <c r="BG2667" s="317">
        <f aca="true" t="shared" si="91" ref="BG2667:BH2673">D116</f>
        <v>0</v>
      </c>
      <c r="BH2667" s="317">
        <f t="shared" si="91"/>
        <v>0</v>
      </c>
    </row>
    <row r="2668" spans="58:60" ht="18" customHeight="1">
      <c r="BF2668" s="52" t="s">
        <v>1316</v>
      </c>
      <c r="BG2668" s="317">
        <f t="shared" si="91"/>
        <v>2867</v>
      </c>
      <c r="BH2668" s="317">
        <f t="shared" si="91"/>
        <v>2921</v>
      </c>
    </row>
    <row r="2669" spans="58:60" ht="18" customHeight="1">
      <c r="BF2669" s="16" t="s">
        <v>1415</v>
      </c>
      <c r="BG2669" s="317">
        <f t="shared" si="91"/>
        <v>853</v>
      </c>
      <c r="BH2669" s="317">
        <f t="shared" si="91"/>
        <v>389</v>
      </c>
    </row>
    <row r="2670" spans="58:60" ht="18" customHeight="1">
      <c r="BF2670" s="4" t="s">
        <v>1416</v>
      </c>
      <c r="BG2670" s="317">
        <f t="shared" si="91"/>
        <v>853</v>
      </c>
      <c r="BH2670" s="317">
        <f t="shared" si="91"/>
        <v>389</v>
      </c>
    </row>
    <row r="2671" spans="58:60" ht="18" customHeight="1">
      <c r="BF2671" s="16" t="s">
        <v>1417</v>
      </c>
      <c r="BG2671" s="317">
        <f t="shared" si="91"/>
        <v>0</v>
      </c>
      <c r="BH2671" s="317">
        <f t="shared" si="91"/>
        <v>0</v>
      </c>
    </row>
    <row r="2672" spans="58:60" ht="18" customHeight="1">
      <c r="BF2672" s="16" t="s">
        <v>1418</v>
      </c>
      <c r="BG2672" s="317">
        <f t="shared" si="91"/>
        <v>0</v>
      </c>
      <c r="BH2672" s="317">
        <f t="shared" si="91"/>
        <v>0</v>
      </c>
    </row>
    <row r="2673" spans="58:60" ht="18" customHeight="1">
      <c r="BF2673" s="9" t="s">
        <v>2202</v>
      </c>
      <c r="BG2673" s="317">
        <f t="shared" si="91"/>
        <v>3720</v>
      </c>
      <c r="BH2673" s="317">
        <f t="shared" si="91"/>
        <v>3310</v>
      </c>
    </row>
    <row r="2674" spans="58:60" ht="18" customHeight="1">
      <c r="BF2674" s="27" t="s">
        <v>1419</v>
      </c>
      <c r="BG2674" s="6"/>
      <c r="BH2674" s="6"/>
    </row>
    <row r="2675" spans="58:60" ht="18" customHeight="1">
      <c r="BF2675" s="55" t="s">
        <v>1420</v>
      </c>
      <c r="BG2675" s="317">
        <f aca="true" t="shared" si="92" ref="BG2675:BH2677">D124</f>
        <v>0</v>
      </c>
      <c r="BH2675" s="317">
        <f t="shared" si="92"/>
        <v>0</v>
      </c>
    </row>
    <row r="2676" spans="58:60" ht="18" customHeight="1">
      <c r="BF2676" s="8" t="s">
        <v>1421</v>
      </c>
      <c r="BG2676" s="317">
        <f t="shared" si="92"/>
        <v>0</v>
      </c>
      <c r="BH2676" s="317">
        <f t="shared" si="92"/>
        <v>0</v>
      </c>
    </row>
    <row r="2677" spans="58:60" ht="18" customHeight="1">
      <c r="BF2677" s="16" t="s">
        <v>1422</v>
      </c>
      <c r="BG2677" s="317">
        <f t="shared" si="92"/>
        <v>0</v>
      </c>
      <c r="BH2677" s="317">
        <f t="shared" si="92"/>
        <v>0</v>
      </c>
    </row>
    <row r="2678" spans="58:60" ht="18" customHeight="1">
      <c r="BF2678" s="16" t="s">
        <v>1423</v>
      </c>
      <c r="BG2678" s="317">
        <f aca="true" t="shared" si="93" ref="BG2678:BH2680">D128</f>
        <v>103</v>
      </c>
      <c r="BH2678" s="317">
        <f t="shared" si="93"/>
        <v>425</v>
      </c>
    </row>
    <row r="2679" spans="58:60" ht="18" customHeight="1">
      <c r="BF2679" s="5" t="s">
        <v>500</v>
      </c>
      <c r="BG2679" s="317">
        <f t="shared" si="93"/>
        <v>103</v>
      </c>
      <c r="BH2679" s="317">
        <f t="shared" si="93"/>
        <v>425</v>
      </c>
    </row>
    <row r="2680" spans="58:60" ht="18" customHeight="1">
      <c r="BF2680" s="9" t="s">
        <v>501</v>
      </c>
      <c r="BG2680" s="317">
        <f t="shared" si="93"/>
        <v>13840</v>
      </c>
      <c r="BH2680" s="317">
        <f t="shared" si="93"/>
        <v>13752</v>
      </c>
    </row>
    <row r="2681" spans="58:60" ht="18" customHeight="1">
      <c r="BF2681" s="54" t="s">
        <v>1149</v>
      </c>
      <c r="BG2681" s="6"/>
      <c r="BH2681" s="6"/>
    </row>
    <row r="2682" spans="58:60" ht="18" customHeight="1">
      <c r="BF2682" s="49" t="s">
        <v>1424</v>
      </c>
      <c r="BG2682" s="26"/>
      <c r="BH2682" s="26"/>
    </row>
    <row r="2683" spans="58:60" ht="18" customHeight="1">
      <c r="BF2683" s="28" t="s">
        <v>1317</v>
      </c>
      <c r="BG2683" s="317">
        <f aca="true" t="shared" si="94" ref="BG2683:BH2690">D134</f>
        <v>0</v>
      </c>
      <c r="BH2683" s="317">
        <f t="shared" si="94"/>
        <v>0</v>
      </c>
    </row>
    <row r="2684" spans="58:60" ht="18" customHeight="1">
      <c r="BF2684" s="8" t="s">
        <v>1318</v>
      </c>
      <c r="BG2684" s="317">
        <f t="shared" si="94"/>
        <v>5556</v>
      </c>
      <c r="BH2684" s="317">
        <f t="shared" si="94"/>
        <v>3203</v>
      </c>
    </row>
    <row r="2685" spans="58:60" ht="18" customHeight="1">
      <c r="BF2685" s="4" t="s">
        <v>1050</v>
      </c>
      <c r="BG2685" s="317">
        <f t="shared" si="94"/>
        <v>0</v>
      </c>
      <c r="BH2685" s="317">
        <f t="shared" si="94"/>
        <v>0</v>
      </c>
    </row>
    <row r="2686" spans="58:60" ht="18" customHeight="1">
      <c r="BF2686" s="4" t="s">
        <v>1425</v>
      </c>
      <c r="BG2686" s="317">
        <f t="shared" si="94"/>
        <v>0</v>
      </c>
      <c r="BH2686" s="317">
        <f t="shared" si="94"/>
        <v>0</v>
      </c>
    </row>
    <row r="2687" spans="58:60" ht="18" customHeight="1">
      <c r="BF2687" s="4" t="s">
        <v>1426</v>
      </c>
      <c r="BG2687" s="317">
        <f t="shared" si="94"/>
        <v>0</v>
      </c>
      <c r="BH2687" s="317">
        <f t="shared" si="94"/>
        <v>0</v>
      </c>
    </row>
    <row r="2688" spans="58:60" ht="18" customHeight="1">
      <c r="BF2688" s="16" t="s">
        <v>1427</v>
      </c>
      <c r="BG2688" s="317">
        <f t="shared" si="94"/>
        <v>192</v>
      </c>
      <c r="BH2688" s="317">
        <f t="shared" si="94"/>
        <v>196</v>
      </c>
    </row>
    <row r="2689" spans="58:60" ht="18" customHeight="1">
      <c r="BF2689" s="4" t="s">
        <v>1428</v>
      </c>
      <c r="BG2689" s="317">
        <f t="shared" si="94"/>
        <v>97</v>
      </c>
      <c r="BH2689" s="317">
        <f t="shared" si="94"/>
        <v>79</v>
      </c>
    </row>
    <row r="2690" spans="58:60" ht="18" customHeight="1">
      <c r="BF2690" s="5" t="s">
        <v>854</v>
      </c>
      <c r="BG2690" s="317">
        <f t="shared" si="94"/>
        <v>5845</v>
      </c>
      <c r="BH2690" s="317">
        <f t="shared" si="94"/>
        <v>3478</v>
      </c>
    </row>
    <row r="2691" spans="58:60" ht="18" customHeight="1">
      <c r="BF2691" s="4" t="s">
        <v>1319</v>
      </c>
      <c r="BG2691" s="317">
        <f>D143</f>
        <v>0</v>
      </c>
      <c r="BH2691" s="317">
        <f>E143</f>
        <v>0</v>
      </c>
    </row>
    <row r="2692" spans="58:60" ht="18" customHeight="1">
      <c r="BF2692" s="5" t="s">
        <v>1048</v>
      </c>
      <c r="BG2692" s="317">
        <f>D144</f>
        <v>5845</v>
      </c>
      <c r="BH2692" s="317">
        <f>E144</f>
        <v>3478</v>
      </c>
    </row>
    <row r="2693" spans="58:60" ht="18" customHeight="1">
      <c r="BF2693" s="17"/>
      <c r="BG2693" s="10"/>
      <c r="BH2693" s="10"/>
    </row>
    <row r="2694" spans="58:60" ht="18" customHeight="1">
      <c r="BF2694" s="13"/>
      <c r="BG2694" s="10"/>
      <c r="BH2694" s="10"/>
    </row>
    <row r="2695" spans="58:60" ht="18" customHeight="1">
      <c r="BF2695" s="314" t="s">
        <v>862</v>
      </c>
      <c r="BG2695" s="313" t="str">
        <f>$BG$2579</f>
        <v>Текущ период</v>
      </c>
      <c r="BH2695" s="318" t="str">
        <f>$BH$2579</f>
        <v>Предходен период</v>
      </c>
    </row>
    <row r="2696" spans="58:60" ht="18" customHeight="1">
      <c r="BF2696" s="27" t="s">
        <v>1308</v>
      </c>
      <c r="BG2696" s="6"/>
      <c r="BH2696" s="6"/>
    </row>
    <row r="2697" spans="58:60" ht="18" customHeight="1">
      <c r="BF2697" s="49" t="s">
        <v>1049</v>
      </c>
      <c r="BG2697" s="26"/>
      <c r="BH2697" s="26"/>
    </row>
    <row r="2698" spans="58:60" ht="18" customHeight="1">
      <c r="BF2698" s="28" t="s">
        <v>1320</v>
      </c>
      <c r="BG2698" s="317">
        <f>D153</f>
        <v>5</v>
      </c>
      <c r="BH2698" s="317">
        <f>E153</f>
        <v>0</v>
      </c>
    </row>
    <row r="2699" spans="58:60" ht="18" customHeight="1">
      <c r="BF2699" s="8" t="s">
        <v>1318</v>
      </c>
      <c r="BG2699" s="317">
        <f aca="true" t="shared" si="95" ref="BG2699:BH2713">D154</f>
        <v>0</v>
      </c>
      <c r="BH2699" s="317">
        <f t="shared" si="95"/>
        <v>0</v>
      </c>
    </row>
    <row r="2700" spans="58:60" ht="18" customHeight="1">
      <c r="BF2700" s="4" t="s">
        <v>1050</v>
      </c>
      <c r="BG2700" s="317">
        <f t="shared" si="95"/>
        <v>0</v>
      </c>
      <c r="BH2700" s="317">
        <f t="shared" si="95"/>
        <v>0</v>
      </c>
    </row>
    <row r="2701" spans="58:60" ht="18" customHeight="1">
      <c r="BF2701" s="4" t="s">
        <v>1321</v>
      </c>
      <c r="BG2701" s="317">
        <f t="shared" si="95"/>
        <v>407</v>
      </c>
      <c r="BH2701" s="317">
        <f t="shared" si="95"/>
        <v>523</v>
      </c>
    </row>
    <row r="2702" spans="58:60" ht="18" customHeight="1">
      <c r="BF2702" s="4" t="s">
        <v>1586</v>
      </c>
      <c r="BG2702" s="317">
        <f t="shared" si="95"/>
        <v>0</v>
      </c>
      <c r="BH2702" s="317">
        <f t="shared" si="95"/>
        <v>0</v>
      </c>
    </row>
    <row r="2703" spans="58:60" ht="18" customHeight="1">
      <c r="BF2703" s="4" t="s">
        <v>1587</v>
      </c>
      <c r="BG2703" s="317">
        <f t="shared" si="95"/>
        <v>109</v>
      </c>
      <c r="BH2703" s="317">
        <f t="shared" si="95"/>
        <v>73</v>
      </c>
    </row>
    <row r="2704" spans="58:60" ht="18" customHeight="1">
      <c r="BF2704" s="35" t="s">
        <v>1322</v>
      </c>
      <c r="BG2704" s="317">
        <f t="shared" si="95"/>
        <v>35</v>
      </c>
      <c r="BH2704" s="317">
        <f t="shared" si="95"/>
        <v>25</v>
      </c>
    </row>
    <row r="2705" spans="58:60" ht="18" customHeight="1">
      <c r="BF2705" s="4" t="s">
        <v>1588</v>
      </c>
      <c r="BG2705" s="317">
        <f t="shared" si="95"/>
        <v>146</v>
      </c>
      <c r="BH2705" s="317">
        <f t="shared" si="95"/>
        <v>323</v>
      </c>
    </row>
    <row r="2706" spans="58:60" ht="18" customHeight="1">
      <c r="BF2706" s="4" t="s">
        <v>379</v>
      </c>
      <c r="BG2706" s="317">
        <f t="shared" si="95"/>
        <v>0</v>
      </c>
      <c r="BH2706" s="317">
        <f t="shared" si="95"/>
        <v>0</v>
      </c>
    </row>
    <row r="2707" spans="58:60" ht="18" customHeight="1">
      <c r="BF2707" s="4" t="s">
        <v>380</v>
      </c>
      <c r="BG2707" s="317">
        <f t="shared" si="95"/>
        <v>9</v>
      </c>
      <c r="BH2707" s="317">
        <f t="shared" si="95"/>
        <v>5</v>
      </c>
    </row>
    <row r="2708" spans="58:60" ht="18" customHeight="1">
      <c r="BF2708" s="135" t="s">
        <v>381</v>
      </c>
      <c r="BG2708" s="317">
        <f t="shared" si="95"/>
        <v>49</v>
      </c>
      <c r="BH2708" s="317">
        <f t="shared" si="95"/>
        <v>35</v>
      </c>
    </row>
    <row r="2709" spans="58:60" ht="18" customHeight="1">
      <c r="BF2709" s="7" t="s">
        <v>854</v>
      </c>
      <c r="BG2709" s="317">
        <f t="shared" si="95"/>
        <v>760</v>
      </c>
      <c r="BH2709" s="317">
        <f t="shared" si="95"/>
        <v>984</v>
      </c>
    </row>
    <row r="2710" spans="58:60" ht="18" customHeight="1">
      <c r="BF2710" s="4" t="s">
        <v>1323</v>
      </c>
      <c r="BG2710" s="317">
        <f t="shared" si="95"/>
        <v>1044</v>
      </c>
      <c r="BH2710" s="317">
        <f t="shared" si="95"/>
        <v>1103</v>
      </c>
    </row>
    <row r="2711" spans="58:60" ht="18" customHeight="1">
      <c r="BF2711" s="5" t="s">
        <v>1589</v>
      </c>
      <c r="BG2711" s="317">
        <f t="shared" si="95"/>
        <v>1804</v>
      </c>
      <c r="BH2711" s="317">
        <f t="shared" si="95"/>
        <v>2087</v>
      </c>
    </row>
    <row r="2712" spans="58:60" ht="18" customHeight="1">
      <c r="BF2712" s="14" t="s">
        <v>1309</v>
      </c>
      <c r="BG2712" s="317">
        <f t="shared" si="95"/>
        <v>21489</v>
      </c>
      <c r="BH2712" s="317">
        <f t="shared" si="95"/>
        <v>19317</v>
      </c>
    </row>
    <row r="2713" spans="58:60" ht="18" customHeight="1">
      <c r="BF2713" s="15" t="s">
        <v>1821</v>
      </c>
      <c r="BG2713" s="317">
        <f t="shared" si="95"/>
        <v>0</v>
      </c>
      <c r="BH2713" s="317">
        <f t="shared" si="95"/>
        <v>0</v>
      </c>
    </row>
    <row r="2715" spans="59:60" ht="18" customHeight="1">
      <c r="BG2715" s="25" t="s">
        <v>900</v>
      </c>
      <c r="BH2715" s="25" t="s">
        <v>900</v>
      </c>
    </row>
    <row r="2716" spans="58:60" ht="18" customHeight="1">
      <c r="BF2716" s="314" t="s">
        <v>1324</v>
      </c>
      <c r="BG2716" s="326" t="str">
        <f>$BG$2579</f>
        <v>Текущ период</v>
      </c>
      <c r="BH2716" s="318" t="str">
        <f>$BH$2579</f>
        <v>Предходен период</v>
      </c>
    </row>
    <row r="2717" spans="58:60" ht="18" customHeight="1">
      <c r="BF2717" s="319" t="s">
        <v>1481</v>
      </c>
      <c r="BG2717" s="38"/>
      <c r="BH2717" s="38"/>
    </row>
    <row r="2718" spans="58:60" ht="18" customHeight="1">
      <c r="BF2718" s="41" t="s">
        <v>384</v>
      </c>
      <c r="BG2718" s="41"/>
      <c r="BH2718" s="41"/>
    </row>
    <row r="2719" spans="58:60" ht="18" customHeight="1">
      <c r="BF2719" s="42" t="s">
        <v>385</v>
      </c>
      <c r="BG2719" s="317">
        <f>K185</f>
        <v>4859</v>
      </c>
      <c r="BH2719" s="317">
        <f>L185</f>
        <v>4283</v>
      </c>
    </row>
    <row r="2720" spans="58:60" ht="18" customHeight="1">
      <c r="BF2720" s="42" t="s">
        <v>386</v>
      </c>
      <c r="BG2720" s="317">
        <f aca="true" t="shared" si="96" ref="BG2720:BH2728">K186</f>
        <v>498</v>
      </c>
      <c r="BH2720" s="317">
        <f t="shared" si="96"/>
        <v>518</v>
      </c>
    </row>
    <row r="2721" spans="58:60" ht="18" customHeight="1">
      <c r="BF2721" s="35" t="s">
        <v>387</v>
      </c>
      <c r="BG2721" s="317">
        <f t="shared" si="96"/>
        <v>442</v>
      </c>
      <c r="BH2721" s="317">
        <f t="shared" si="96"/>
        <v>462</v>
      </c>
    </row>
    <row r="2722" spans="58:60" ht="18" customHeight="1">
      <c r="BF2722" s="35" t="s">
        <v>2188</v>
      </c>
      <c r="BG2722" s="317">
        <f t="shared" si="96"/>
        <v>881</v>
      </c>
      <c r="BH2722" s="317">
        <f t="shared" si="96"/>
        <v>776</v>
      </c>
    </row>
    <row r="2723" spans="58:60" ht="18" customHeight="1">
      <c r="BF2723" s="35" t="s">
        <v>2189</v>
      </c>
      <c r="BG2723" s="317">
        <f t="shared" si="96"/>
        <v>192</v>
      </c>
      <c r="BH2723" s="317">
        <f t="shared" si="96"/>
        <v>183</v>
      </c>
    </row>
    <row r="2724" spans="58:60" ht="18" customHeight="1">
      <c r="BF2724" s="35" t="s">
        <v>2190</v>
      </c>
      <c r="BG2724" s="317">
        <f t="shared" si="96"/>
        <v>106</v>
      </c>
      <c r="BH2724" s="317">
        <f t="shared" si="96"/>
        <v>237</v>
      </c>
    </row>
    <row r="2725" spans="58:60" ht="18" customHeight="1">
      <c r="BF2725" s="4" t="s">
        <v>2191</v>
      </c>
      <c r="BG2725" s="317">
        <f t="shared" si="96"/>
        <v>0</v>
      </c>
      <c r="BH2725" s="317">
        <f t="shared" si="96"/>
        <v>0</v>
      </c>
    </row>
    <row r="2726" spans="58:60" ht="18" customHeight="1">
      <c r="BF2726" s="35" t="s">
        <v>2192</v>
      </c>
      <c r="BG2726" s="317">
        <f t="shared" si="96"/>
        <v>0</v>
      </c>
      <c r="BH2726" s="317">
        <f t="shared" si="96"/>
        <v>0</v>
      </c>
    </row>
    <row r="2727" spans="58:60" ht="18" customHeight="1">
      <c r="BF2727" s="35" t="s">
        <v>554</v>
      </c>
      <c r="BG2727" s="317">
        <f t="shared" si="96"/>
        <v>0</v>
      </c>
      <c r="BH2727" s="317">
        <f t="shared" si="96"/>
        <v>0</v>
      </c>
    </row>
    <row r="2728" spans="58:60" ht="18" customHeight="1">
      <c r="BF2728" s="50" t="s">
        <v>854</v>
      </c>
      <c r="BG2728" s="317">
        <f t="shared" si="96"/>
        <v>6978</v>
      </c>
      <c r="BH2728" s="317">
        <f t="shared" si="96"/>
        <v>6459</v>
      </c>
    </row>
    <row r="2729" spans="58:60" ht="18" customHeight="1">
      <c r="BF2729" s="65" t="s">
        <v>2196</v>
      </c>
      <c r="BG2729" s="38"/>
      <c r="BH2729" s="38"/>
    </row>
    <row r="2730" spans="58:60" ht="18" customHeight="1">
      <c r="BF2730" s="320" t="s">
        <v>1325</v>
      </c>
      <c r="BG2730" s="317">
        <f>K196</f>
        <v>236</v>
      </c>
      <c r="BH2730" s="317">
        <f>L196</f>
        <v>204</v>
      </c>
    </row>
    <row r="2731" spans="58:60" ht="18" customHeight="1">
      <c r="BF2731" s="41" t="s">
        <v>1326</v>
      </c>
      <c r="BG2731" s="41"/>
      <c r="BH2731" s="41"/>
    </row>
    <row r="2732" spans="58:60" ht="18" customHeight="1">
      <c r="BF2732" s="310" t="s">
        <v>1327</v>
      </c>
      <c r="BG2732" s="317">
        <f>K197</f>
        <v>0</v>
      </c>
      <c r="BH2732" s="317">
        <f>L197</f>
        <v>0</v>
      </c>
    </row>
    <row r="2733" spans="58:60" ht="18" customHeight="1">
      <c r="BF2733" s="38" t="s">
        <v>471</v>
      </c>
      <c r="BG2733" s="38"/>
      <c r="BH2733" s="38"/>
    </row>
    <row r="2734" spans="58:60" ht="18" customHeight="1">
      <c r="BF2734" s="42" t="s">
        <v>1945</v>
      </c>
      <c r="BG2734" s="317">
        <f>K198</f>
        <v>-835</v>
      </c>
      <c r="BH2734" s="317">
        <f>L198</f>
        <v>429</v>
      </c>
    </row>
    <row r="2735" spans="58:60" ht="18" customHeight="1">
      <c r="BF2735" s="35" t="s">
        <v>2197</v>
      </c>
      <c r="BG2735" s="317">
        <f aca="true" t="shared" si="97" ref="BG2735:BH2737">K199</f>
        <v>0</v>
      </c>
      <c r="BH2735" s="317">
        <f t="shared" si="97"/>
        <v>0</v>
      </c>
    </row>
    <row r="2736" spans="58:60" ht="18" customHeight="1">
      <c r="BF2736" s="35" t="s">
        <v>1456</v>
      </c>
      <c r="BG2736" s="317">
        <f t="shared" si="97"/>
        <v>0</v>
      </c>
      <c r="BH2736" s="317">
        <f t="shared" si="97"/>
        <v>0</v>
      </c>
    </row>
    <row r="2737" spans="58:60" ht="18" customHeight="1">
      <c r="BF2737" s="50" t="s">
        <v>2202</v>
      </c>
      <c r="BG2737" s="317">
        <f t="shared" si="97"/>
        <v>-599</v>
      </c>
      <c r="BH2737" s="317">
        <f t="shared" si="97"/>
        <v>633</v>
      </c>
    </row>
    <row r="2738" spans="58:60" ht="18" customHeight="1">
      <c r="BF2738" s="38" t="s">
        <v>1457</v>
      </c>
      <c r="BG2738" s="38"/>
      <c r="BH2738" s="38"/>
    </row>
    <row r="2739" spans="58:60" ht="18" customHeight="1">
      <c r="BF2739" s="42" t="s">
        <v>1458</v>
      </c>
      <c r="BG2739" s="317">
        <f>K203</f>
        <v>289</v>
      </c>
      <c r="BH2739" s="317">
        <f>L203</f>
        <v>210</v>
      </c>
    </row>
    <row r="2740" spans="58:60" ht="18" customHeight="1">
      <c r="BF2740" s="310" t="s">
        <v>1620</v>
      </c>
      <c r="BG2740" s="317">
        <f>K204</f>
        <v>0</v>
      </c>
      <c r="BH2740" s="317">
        <f>L204</f>
        <v>0</v>
      </c>
    </row>
    <row r="2741" spans="58:60" ht="18" customHeight="1">
      <c r="BF2741" s="38" t="s">
        <v>1621</v>
      </c>
      <c r="BG2741" s="38"/>
      <c r="BH2741" s="38"/>
    </row>
    <row r="2742" spans="58:60" ht="18" customHeight="1">
      <c r="BF2742" s="42" t="s">
        <v>1622</v>
      </c>
      <c r="BG2742" s="317">
        <f aca="true" t="shared" si="98" ref="BG2742:BH2747">K205</f>
        <v>0</v>
      </c>
      <c r="BH2742" s="317">
        <f t="shared" si="98"/>
        <v>0</v>
      </c>
    </row>
    <row r="2743" spans="58:60" ht="18" customHeight="1">
      <c r="BF2743" s="24" t="s">
        <v>1623</v>
      </c>
      <c r="BG2743" s="317">
        <f t="shared" si="98"/>
        <v>6</v>
      </c>
      <c r="BH2743" s="317">
        <f t="shared" si="98"/>
        <v>1</v>
      </c>
    </row>
    <row r="2744" spans="58:60" ht="18" customHeight="1">
      <c r="BF2744" s="35" t="s">
        <v>1624</v>
      </c>
      <c r="BG2744" s="317">
        <f t="shared" si="98"/>
        <v>133</v>
      </c>
      <c r="BH2744" s="317">
        <f t="shared" si="98"/>
        <v>71</v>
      </c>
    </row>
    <row r="2745" spans="58:60" ht="18" customHeight="1">
      <c r="BF2745" s="7" t="s">
        <v>500</v>
      </c>
      <c r="BG2745" s="317">
        <f t="shared" si="98"/>
        <v>428</v>
      </c>
      <c r="BH2745" s="317">
        <f t="shared" si="98"/>
        <v>282</v>
      </c>
    </row>
    <row r="2746" spans="58:60" ht="18" customHeight="1">
      <c r="BF2746" s="321" t="s">
        <v>816</v>
      </c>
      <c r="BG2746" s="317">
        <f t="shared" si="98"/>
        <v>6807</v>
      </c>
      <c r="BH2746" s="317">
        <f t="shared" si="98"/>
        <v>7374</v>
      </c>
    </row>
    <row r="2747" spans="58:60" ht="18" customHeight="1">
      <c r="BF2747" s="322" t="s">
        <v>2310</v>
      </c>
      <c r="BG2747" s="317">
        <f t="shared" si="98"/>
        <v>138</v>
      </c>
      <c r="BH2747" s="317">
        <f t="shared" si="98"/>
        <v>457</v>
      </c>
    </row>
    <row r="2748" spans="58:60" ht="18" customHeight="1">
      <c r="BF2748" s="35" t="s">
        <v>2311</v>
      </c>
      <c r="BG2748" s="317">
        <f aca="true" t="shared" si="99" ref="BG2748:BG2753">K212</f>
        <v>0</v>
      </c>
      <c r="BH2748" s="317">
        <f aca="true" t="shared" si="100" ref="BH2748:BH2753">L212</f>
        <v>0</v>
      </c>
    </row>
    <row r="2749" spans="58:60" ht="18" customHeight="1">
      <c r="BF2749" s="35" t="s">
        <v>815</v>
      </c>
      <c r="BG2749" s="317">
        <f t="shared" si="99"/>
        <v>6807</v>
      </c>
      <c r="BH2749" s="317">
        <f t="shared" si="100"/>
        <v>7374</v>
      </c>
    </row>
    <row r="2750" spans="58:60" ht="18" customHeight="1">
      <c r="BF2750" s="35" t="s">
        <v>2312</v>
      </c>
      <c r="BG2750" s="317">
        <f t="shared" si="99"/>
        <v>138</v>
      </c>
      <c r="BH2750" s="317">
        <f t="shared" si="100"/>
        <v>457</v>
      </c>
    </row>
    <row r="2751" spans="58:60" ht="18" customHeight="1">
      <c r="BF2751" s="35" t="s">
        <v>772</v>
      </c>
      <c r="BG2751" s="317">
        <f t="shared" si="99"/>
        <v>35</v>
      </c>
      <c r="BH2751" s="317">
        <f t="shared" si="100"/>
        <v>32</v>
      </c>
    </row>
    <row r="2752" spans="58:60" ht="18" customHeight="1">
      <c r="BF2752" s="35" t="s">
        <v>773</v>
      </c>
      <c r="BG2752" s="317">
        <f t="shared" si="99"/>
        <v>35</v>
      </c>
      <c r="BH2752" s="317">
        <f t="shared" si="100"/>
        <v>32</v>
      </c>
    </row>
    <row r="2753" spans="58:60" ht="18" customHeight="1">
      <c r="BF2753" s="35" t="s">
        <v>774</v>
      </c>
      <c r="BG2753" s="317">
        <f t="shared" si="99"/>
        <v>0</v>
      </c>
      <c r="BH2753" s="317">
        <f t="shared" si="100"/>
        <v>0</v>
      </c>
    </row>
    <row r="2754" spans="58:60" ht="18" customHeight="1">
      <c r="BF2754" s="35" t="s">
        <v>814</v>
      </c>
      <c r="BG2754" s="317">
        <f>K222</f>
        <v>103</v>
      </c>
      <c r="BH2754" s="317">
        <f>L222</f>
        <v>425</v>
      </c>
    </row>
    <row r="2755" spans="58:60" ht="18" customHeight="1">
      <c r="BF2755" s="5" t="s">
        <v>817</v>
      </c>
      <c r="BG2755" s="317">
        <f>K223</f>
        <v>6945</v>
      </c>
      <c r="BH2755" s="317">
        <f>L223</f>
        <v>7831</v>
      </c>
    </row>
    <row r="2756" spans="58:60" ht="18" customHeight="1">
      <c r="BF2756" s="323"/>
      <c r="BG2756" s="323"/>
      <c r="BH2756" s="323"/>
    </row>
    <row r="2757" spans="58:60" ht="18" customHeight="1">
      <c r="BF2757" s="11"/>
      <c r="BG2757" s="51">
        <v>-200000</v>
      </c>
      <c r="BH2757" s="51">
        <v>-200000</v>
      </c>
    </row>
    <row r="2758" spans="58:60" ht="18" customHeight="1">
      <c r="BF2758" s="314" t="s">
        <v>1324</v>
      </c>
      <c r="BG2758" s="313" t="str">
        <f>$BG$2579</f>
        <v>Текущ период</v>
      </c>
      <c r="BH2758" s="318" t="str">
        <f>$BH$2579</f>
        <v>Предходен период</v>
      </c>
    </row>
    <row r="2759" spans="58:60" ht="18" customHeight="1">
      <c r="BF2759" s="324" t="s">
        <v>997</v>
      </c>
      <c r="BG2759" s="38"/>
      <c r="BH2759" s="38"/>
    </row>
    <row r="2760" spans="58:60" ht="18" customHeight="1">
      <c r="BF2760" s="41" t="s">
        <v>998</v>
      </c>
      <c r="BG2760" s="41"/>
      <c r="BH2760" s="41"/>
    </row>
    <row r="2761" spans="58:60" ht="18" customHeight="1">
      <c r="BF2761" s="42" t="s">
        <v>999</v>
      </c>
      <c r="BG2761" s="317">
        <f>K231</f>
        <v>5835</v>
      </c>
      <c r="BH2761" s="317">
        <f>L231</f>
        <v>6717</v>
      </c>
    </row>
    <row r="2762" spans="58:60" ht="18" customHeight="1">
      <c r="BF2762" s="42" t="s">
        <v>1000</v>
      </c>
      <c r="BG2762" s="317">
        <f aca="true" t="shared" si="101" ref="BG2762:BH2767">K232</f>
        <v>324</v>
      </c>
      <c r="BH2762" s="317">
        <f t="shared" si="101"/>
        <v>275</v>
      </c>
    </row>
    <row r="2763" spans="58:60" ht="18" customHeight="1">
      <c r="BF2763" s="35" t="s">
        <v>1001</v>
      </c>
      <c r="BG2763" s="317">
        <f t="shared" si="101"/>
        <v>98</v>
      </c>
      <c r="BH2763" s="317">
        <f t="shared" si="101"/>
        <v>216</v>
      </c>
    </row>
    <row r="2764" spans="58:60" ht="18" customHeight="1">
      <c r="BF2764" s="35" t="s">
        <v>1002</v>
      </c>
      <c r="BG2764" s="317">
        <f t="shared" si="101"/>
        <v>431</v>
      </c>
      <c r="BH2764" s="317">
        <f t="shared" si="101"/>
        <v>300</v>
      </c>
    </row>
    <row r="2765" spans="58:60" ht="18" customHeight="1">
      <c r="BF2765" s="7" t="s">
        <v>854</v>
      </c>
      <c r="BG2765" s="317">
        <f t="shared" si="101"/>
        <v>6688</v>
      </c>
      <c r="BH2765" s="317">
        <f t="shared" si="101"/>
        <v>7508</v>
      </c>
    </row>
    <row r="2766" spans="58:60" ht="18" customHeight="1">
      <c r="BF2766" s="24" t="s">
        <v>1003</v>
      </c>
      <c r="BG2766" s="317">
        <f t="shared" si="101"/>
        <v>73</v>
      </c>
      <c r="BH2766" s="317">
        <f t="shared" si="101"/>
        <v>323</v>
      </c>
    </row>
    <row r="2767" spans="58:60" ht="18" customHeight="1">
      <c r="BF2767" s="38" t="s">
        <v>95</v>
      </c>
      <c r="BG2767" s="317">
        <f t="shared" si="101"/>
        <v>0</v>
      </c>
      <c r="BH2767" s="317">
        <f t="shared" si="101"/>
        <v>0</v>
      </c>
    </row>
    <row r="2768" spans="58:60" ht="18" customHeight="1">
      <c r="BF2768" s="38" t="s">
        <v>96</v>
      </c>
      <c r="BG2768" s="38"/>
      <c r="BH2768" s="38"/>
    </row>
    <row r="2769" spans="58:60" ht="18" customHeight="1">
      <c r="BF2769" s="42" t="s">
        <v>97</v>
      </c>
      <c r="BG2769" s="317">
        <f aca="true" t="shared" si="102" ref="BG2769:BH2772">K239</f>
        <v>184</v>
      </c>
      <c r="BH2769" s="317">
        <f t="shared" si="102"/>
        <v>0</v>
      </c>
    </row>
    <row r="2770" spans="58:60" ht="18" customHeight="1">
      <c r="BF2770" s="42" t="s">
        <v>98</v>
      </c>
      <c r="BG2770" s="317">
        <f t="shared" si="102"/>
        <v>0</v>
      </c>
      <c r="BH2770" s="317">
        <f t="shared" si="102"/>
        <v>0</v>
      </c>
    </row>
    <row r="2771" spans="58:60" ht="18" customHeight="1">
      <c r="BF2771" s="35" t="s">
        <v>99</v>
      </c>
      <c r="BG2771" s="317">
        <f t="shared" si="102"/>
        <v>0</v>
      </c>
      <c r="BH2771" s="317">
        <f t="shared" si="102"/>
        <v>0</v>
      </c>
    </row>
    <row r="2772" spans="58:60" ht="18" customHeight="1">
      <c r="BF2772" s="35" t="s">
        <v>1150</v>
      </c>
      <c r="BG2772" s="317">
        <f t="shared" si="102"/>
        <v>0</v>
      </c>
      <c r="BH2772" s="317">
        <f t="shared" si="102"/>
        <v>0</v>
      </c>
    </row>
    <row r="2773" spans="58:60" ht="18" customHeight="1">
      <c r="BF2773" s="38" t="s">
        <v>1625</v>
      </c>
      <c r="BG2773" s="38"/>
      <c r="BH2773" s="38"/>
    </row>
    <row r="2774" spans="58:60" ht="18" customHeight="1">
      <c r="BF2774" s="42" t="s">
        <v>1622</v>
      </c>
      <c r="BG2774" s="317">
        <f aca="true" t="shared" si="103" ref="BG2774:BH2779">K243</f>
        <v>0</v>
      </c>
      <c r="BH2774" s="317">
        <f t="shared" si="103"/>
        <v>0</v>
      </c>
    </row>
    <row r="2775" spans="58:60" ht="18" customHeight="1">
      <c r="BF2775" s="35" t="s">
        <v>898</v>
      </c>
      <c r="BG2775" s="317">
        <f t="shared" si="103"/>
        <v>0</v>
      </c>
      <c r="BH2775" s="317">
        <f t="shared" si="103"/>
        <v>0</v>
      </c>
    </row>
    <row r="2776" spans="58:60" ht="18" customHeight="1">
      <c r="BF2776" s="35" t="s">
        <v>899</v>
      </c>
      <c r="BG2776" s="317">
        <f t="shared" si="103"/>
        <v>0</v>
      </c>
      <c r="BH2776" s="317">
        <f t="shared" si="103"/>
        <v>0</v>
      </c>
    </row>
    <row r="2777" spans="58:60" ht="18" customHeight="1">
      <c r="BF2777" s="7" t="s">
        <v>500</v>
      </c>
      <c r="BG2777" s="317">
        <f t="shared" si="103"/>
        <v>184</v>
      </c>
      <c r="BH2777" s="317">
        <f t="shared" si="103"/>
        <v>0</v>
      </c>
    </row>
    <row r="2778" spans="58:60" ht="18" customHeight="1">
      <c r="BF2778" s="321" t="s">
        <v>718</v>
      </c>
      <c r="BG2778" s="317">
        <f t="shared" si="103"/>
        <v>6945</v>
      </c>
      <c r="BH2778" s="317">
        <f t="shared" si="103"/>
        <v>7831</v>
      </c>
    </row>
    <row r="2779" spans="58:60" ht="18" customHeight="1">
      <c r="BF2779" s="322" t="s">
        <v>719</v>
      </c>
      <c r="BG2779" s="317">
        <f t="shared" si="103"/>
        <v>0</v>
      </c>
      <c r="BH2779" s="317">
        <f t="shared" si="103"/>
        <v>0</v>
      </c>
    </row>
    <row r="2780" spans="58:60" ht="18" customHeight="1">
      <c r="BF2780" s="35" t="s">
        <v>720</v>
      </c>
      <c r="BG2780" s="317">
        <f aca="true" t="shared" si="104" ref="BG2780:BH2782">K250</f>
        <v>0</v>
      </c>
      <c r="BH2780" s="317">
        <f t="shared" si="104"/>
        <v>0</v>
      </c>
    </row>
    <row r="2781" spans="58:60" ht="18" customHeight="1">
      <c r="BF2781" s="35" t="s">
        <v>721</v>
      </c>
      <c r="BG2781" s="317">
        <f t="shared" si="104"/>
        <v>6945</v>
      </c>
      <c r="BH2781" s="317">
        <f t="shared" si="104"/>
        <v>7831</v>
      </c>
    </row>
    <row r="2782" spans="58:60" ht="18" customHeight="1">
      <c r="BF2782" s="35" t="s">
        <v>513</v>
      </c>
      <c r="BG2782" s="317">
        <f t="shared" si="104"/>
        <v>0</v>
      </c>
      <c r="BH2782" s="317">
        <f t="shared" si="104"/>
        <v>0</v>
      </c>
    </row>
    <row r="2783" spans="58:60" ht="18" customHeight="1">
      <c r="BF2783" s="325" t="s">
        <v>514</v>
      </c>
      <c r="BG2783" s="317">
        <f>K257</f>
        <v>0</v>
      </c>
      <c r="BH2783" s="317">
        <f>L257</f>
        <v>0</v>
      </c>
    </row>
    <row r="2784" spans="58:60" ht="18" customHeight="1">
      <c r="BF2784" s="5" t="s">
        <v>1143</v>
      </c>
      <c r="BG2784" s="317">
        <f>K258</f>
        <v>6945</v>
      </c>
      <c r="BH2784" s="317">
        <f>L258</f>
        <v>7831</v>
      </c>
    </row>
    <row r="3170" spans="1:2" ht="18" customHeight="1">
      <c r="A3170" s="25" t="s">
        <v>1612</v>
      </c>
      <c r="B3170" s="25" t="s">
        <v>1835</v>
      </c>
    </row>
    <row r="3171" spans="1:2" ht="18" customHeight="1">
      <c r="A3171" s="25">
        <v>1</v>
      </c>
      <c r="B3171" s="25" t="s">
        <v>160</v>
      </c>
    </row>
    <row r="3172" spans="1:2" ht="18" customHeight="1">
      <c r="A3172" s="25">
        <v>2</v>
      </c>
      <c r="B3172" s="25"/>
    </row>
    <row r="3173" spans="1:2" ht="18" customHeight="1">
      <c r="A3173" s="25">
        <v>3</v>
      </c>
      <c r="B3173" s="25"/>
    </row>
    <row r="3174" spans="1:2" ht="18" customHeight="1">
      <c r="A3174" s="25">
        <v>4</v>
      </c>
      <c r="B3174" s="25"/>
    </row>
    <row r="3175" spans="1:2" ht="18" customHeight="1">
      <c r="A3175" s="25">
        <v>5</v>
      </c>
      <c r="B3175" s="25"/>
    </row>
    <row r="3176" spans="1:2" ht="18" customHeight="1">
      <c r="A3176" s="25">
        <v>6</v>
      </c>
      <c r="B3176" s="25"/>
    </row>
    <row r="3177" spans="1:2" ht="18" customHeight="1">
      <c r="A3177" s="25">
        <v>7</v>
      </c>
      <c r="B3177" s="25"/>
    </row>
    <row r="3178" spans="1:2" ht="18" customHeight="1">
      <c r="A3178" s="25">
        <v>8</v>
      </c>
      <c r="B3178" s="25"/>
    </row>
    <row r="3179" spans="1:2" ht="18" customHeight="1">
      <c r="A3179" s="25">
        <v>9</v>
      </c>
      <c r="B3179" s="25"/>
    </row>
    <row r="3180" spans="1:2" ht="18" customHeight="1">
      <c r="A3180" s="25">
        <v>10</v>
      </c>
      <c r="B3180" s="25"/>
    </row>
    <row r="3190" spans="1:2" ht="18" customHeight="1">
      <c r="A3190" s="25" t="s">
        <v>1612</v>
      </c>
      <c r="B3190" s="25" t="s">
        <v>1835</v>
      </c>
    </row>
    <row r="3191" spans="1:2" ht="18" customHeight="1">
      <c r="A3191" s="25">
        <v>1</v>
      </c>
      <c r="B3191" s="25" t="s">
        <v>3</v>
      </c>
    </row>
    <row r="3192" spans="1:2" ht="18" customHeight="1">
      <c r="A3192" s="25">
        <v>2</v>
      </c>
      <c r="B3192" s="25"/>
    </row>
    <row r="3193" spans="1:2" ht="18" customHeight="1">
      <c r="A3193" s="25">
        <v>3</v>
      </c>
      <c r="B3193" s="25"/>
    </row>
    <row r="3194" spans="1:2" ht="18" customHeight="1">
      <c r="A3194" s="25">
        <v>4</v>
      </c>
      <c r="B3194" s="25"/>
    </row>
    <row r="3195" spans="1:2" ht="18" customHeight="1">
      <c r="A3195" s="25">
        <v>5</v>
      </c>
      <c r="B3195" s="25"/>
    </row>
    <row r="3196" spans="1:2" ht="18" customHeight="1">
      <c r="A3196" s="25">
        <v>6</v>
      </c>
      <c r="B3196" s="25"/>
    </row>
    <row r="3197" spans="1:2" ht="18" customHeight="1">
      <c r="A3197" s="25">
        <v>7</v>
      </c>
      <c r="B3197" s="25"/>
    </row>
    <row r="3198" spans="1:2" ht="18" customHeight="1">
      <c r="A3198" s="25">
        <v>8</v>
      </c>
      <c r="B3198" s="25"/>
    </row>
    <row r="3199" spans="1:2" ht="18" customHeight="1">
      <c r="A3199" s="25">
        <v>9</v>
      </c>
      <c r="B3199" s="25"/>
    </row>
    <row r="3200" spans="1:2" ht="18" customHeight="1">
      <c r="A3200" s="25">
        <v>10</v>
      </c>
      <c r="B3200" s="4"/>
    </row>
    <row r="3266" spans="131:133" ht="18" customHeight="1">
      <c r="EA3266" s="1230" t="s">
        <v>1635</v>
      </c>
      <c r="EB3266" s="262"/>
      <c r="EC3266" s="1231"/>
    </row>
    <row r="3267" spans="131:133" ht="18" customHeight="1">
      <c r="EA3267" s="121" t="s">
        <v>1629</v>
      </c>
      <c r="EB3267" s="251"/>
      <c r="EC3267" s="1232"/>
    </row>
    <row r="3268" spans="131:133" ht="18" customHeight="1">
      <c r="EA3268" s="121" t="s">
        <v>1288</v>
      </c>
      <c r="EB3268" s="251"/>
      <c r="EC3268" s="1232"/>
    </row>
    <row r="3269" spans="131:133" ht="18" customHeight="1">
      <c r="EA3269" s="121" t="s">
        <v>1349</v>
      </c>
      <c r="EB3269" s="251"/>
      <c r="EC3269" s="1232"/>
    </row>
    <row r="3270" spans="131:133" ht="18" customHeight="1">
      <c r="EA3270" s="121" t="s">
        <v>1289</v>
      </c>
      <c r="EB3270" s="251"/>
      <c r="EC3270" s="1232"/>
    </row>
    <row r="3271" spans="131:133" ht="18" customHeight="1">
      <c r="EA3271" s="1233" t="s">
        <v>1290</v>
      </c>
      <c r="EB3271" s="1234"/>
      <c r="EC3271" s="1235"/>
    </row>
    <row r="3272" spans="131:133" ht="18" customHeight="1">
      <c r="EA3272" s="1233" t="s">
        <v>1291</v>
      </c>
      <c r="EB3272" s="251"/>
      <c r="EC3272" s="1232"/>
    </row>
    <row r="3273" spans="131:133" ht="18" customHeight="1">
      <c r="EA3273" s="1236" t="s">
        <v>1292</v>
      </c>
      <c r="EB3273" s="1237"/>
      <c r="EC3273" s="1238"/>
    </row>
    <row r="3274" spans="131:133" ht="18" customHeight="1">
      <c r="EA3274" s="1239" t="s">
        <v>1293</v>
      </c>
      <c r="EB3274" s="1237"/>
      <c r="EC3274" s="1238"/>
    </row>
    <row r="3275" spans="131:133" ht="18" customHeight="1">
      <c r="EA3275" s="1239" t="s">
        <v>1294</v>
      </c>
      <c r="EB3275" s="1237"/>
      <c r="EC3275" s="1238"/>
    </row>
    <row r="3276" spans="131:133" ht="18" customHeight="1">
      <c r="EA3276" s="1239" t="s">
        <v>1360</v>
      </c>
      <c r="EB3276" s="1237"/>
      <c r="EC3276" s="1238"/>
    </row>
    <row r="3277" spans="131:133" ht="18" customHeight="1">
      <c r="EA3277" s="1239" t="s">
        <v>1295</v>
      </c>
      <c r="EB3277" s="1237"/>
      <c r="EC3277" s="1238"/>
    </row>
    <row r="3278" spans="131:133" ht="12.75" customHeight="1">
      <c r="EA3278" s="259"/>
      <c r="EB3278" s="72"/>
      <c r="EC3278" s="260"/>
    </row>
    <row r="3279" spans="131:133" ht="18" customHeight="1">
      <c r="EA3279" s="1240" t="s">
        <v>234</v>
      </c>
      <c r="EB3279" s="1241" t="s">
        <v>1296</v>
      </c>
      <c r="EC3279" s="1242" t="s">
        <v>1348</v>
      </c>
    </row>
    <row r="3280" spans="131:133" ht="72">
      <c r="EA3280" s="257">
        <v>1</v>
      </c>
      <c r="EB3280" s="1243" t="s">
        <v>2321</v>
      </c>
      <c r="EC3280" s="1244" t="s">
        <v>2319</v>
      </c>
    </row>
    <row r="3281" spans="131:133" ht="86.25">
      <c r="EA3281" s="1245" t="s">
        <v>1492</v>
      </c>
      <c r="EB3281" s="1246" t="s">
        <v>2322</v>
      </c>
      <c r="EC3281" s="1247" t="s">
        <v>2320</v>
      </c>
    </row>
    <row r="3282" spans="131:133" ht="42.75">
      <c r="EA3282" s="1248" t="s">
        <v>1493</v>
      </c>
      <c r="EB3282" s="1249" t="s">
        <v>1494</v>
      </c>
      <c r="EC3282" s="400" t="s">
        <v>1946</v>
      </c>
    </row>
    <row r="3283" spans="131:133" ht="57.75">
      <c r="EA3283" s="237">
        <f>EA3280+1</f>
        <v>2</v>
      </c>
      <c r="EB3283" s="1250" t="s">
        <v>1051</v>
      </c>
      <c r="EC3283" s="1251">
        <v>210</v>
      </c>
    </row>
    <row r="3284" spans="131:133" ht="43.5">
      <c r="EA3284" s="257">
        <f>EA3283+1</f>
        <v>3</v>
      </c>
      <c r="EB3284" s="252" t="s">
        <v>1947</v>
      </c>
      <c r="EC3284" s="1252">
        <v>200</v>
      </c>
    </row>
    <row r="3285" spans="131:133" ht="30.75">
      <c r="EA3285" s="1245"/>
      <c r="EB3285" s="1245" t="s">
        <v>1495</v>
      </c>
      <c r="EC3285" s="1253" t="s">
        <v>1496</v>
      </c>
    </row>
    <row r="3286" spans="131:133" ht="42.75">
      <c r="EA3286" s="1254">
        <f>EA3284+1</f>
        <v>4</v>
      </c>
      <c r="EB3286" s="1215" t="s">
        <v>1497</v>
      </c>
      <c r="EC3286" s="1255">
        <v>200</v>
      </c>
    </row>
    <row r="3287" spans="131:133" ht="25.5">
      <c r="EA3287" s="1256"/>
      <c r="EB3287" s="1257" t="s">
        <v>2246</v>
      </c>
      <c r="EC3287" s="1258"/>
    </row>
    <row r="3288" spans="131:133" ht="38.25">
      <c r="EA3288" s="1259"/>
      <c r="EB3288" s="1260" t="s">
        <v>2247</v>
      </c>
      <c r="EC3288" s="1261"/>
    </row>
    <row r="3289" spans="131:133" ht="40.5">
      <c r="EA3289" s="257">
        <f>EA3286+1</f>
        <v>5</v>
      </c>
      <c r="EB3289" s="1262" t="s">
        <v>1498</v>
      </c>
      <c r="EC3289" s="256">
        <v>160</v>
      </c>
    </row>
    <row r="3290" spans="131:133" ht="15">
      <c r="EA3290" s="253">
        <f>EA3289+1</f>
        <v>6</v>
      </c>
      <c r="EB3290" s="1263" t="s">
        <v>1499</v>
      </c>
      <c r="EC3290" s="1252">
        <v>90</v>
      </c>
    </row>
    <row r="3291" spans="131:133" ht="43.5">
      <c r="EA3291" s="1254">
        <f>EA3290+1</f>
        <v>7</v>
      </c>
      <c r="EB3291" s="1213" t="s">
        <v>1637</v>
      </c>
      <c r="EC3291" s="1252">
        <v>150</v>
      </c>
    </row>
    <row r="3292" spans="131:133" ht="15">
      <c r="EA3292" s="1211"/>
      <c r="EB3292" s="1264" t="s">
        <v>2248</v>
      </c>
      <c r="EC3292" s="1265">
        <v>50</v>
      </c>
    </row>
    <row r="3293" spans="131:133" ht="15.75">
      <c r="EA3293" s="1266">
        <f>EA3291+1</f>
        <v>8</v>
      </c>
      <c r="EB3293" s="1267" t="s">
        <v>1638</v>
      </c>
      <c r="EC3293" s="1265">
        <v>30</v>
      </c>
    </row>
    <row r="3294" spans="131:133" ht="15.75">
      <c r="EA3294" s="254">
        <f>EA3293+1</f>
        <v>9</v>
      </c>
      <c r="EB3294" s="1268" t="s">
        <v>1639</v>
      </c>
      <c r="EC3294" s="256">
        <v>90</v>
      </c>
    </row>
    <row r="3295" spans="131:133" ht="30">
      <c r="EA3295" s="237">
        <f>EA3294+1</f>
        <v>10</v>
      </c>
      <c r="EB3295" s="1269" t="s">
        <v>1640</v>
      </c>
      <c r="EC3295" s="256">
        <v>70</v>
      </c>
    </row>
    <row r="3296" spans="131:133" ht="15.75">
      <c r="EA3296" s="205"/>
      <c r="EB3296" s="1270" t="s">
        <v>1641</v>
      </c>
      <c r="EC3296" s="1271"/>
    </row>
    <row r="3297" spans="131:133" ht="15.75">
      <c r="EA3297" s="1272">
        <v>11</v>
      </c>
      <c r="EB3297" s="1273" t="s">
        <v>1642</v>
      </c>
      <c r="EC3297" s="1251">
        <v>25</v>
      </c>
    </row>
    <row r="3298" spans="131:133" ht="28.5">
      <c r="EA3298" s="1248"/>
      <c r="EB3298" s="1274" t="s">
        <v>1643</v>
      </c>
      <c r="EC3298" s="1275"/>
    </row>
    <row r="3299" spans="131:133" ht="15">
      <c r="EA3299" s="1276"/>
      <c r="EB3299" s="1277" t="s">
        <v>1644</v>
      </c>
      <c r="EC3299" s="1278"/>
    </row>
    <row r="3300" spans="131:133" ht="14.25">
      <c r="EA3300" s="137"/>
      <c r="EB3300" s="1279" t="s">
        <v>1645</v>
      </c>
      <c r="EC3300" s="1280"/>
    </row>
    <row r="3301" spans="131:133" ht="14.25">
      <c r="EA3301" s="137">
        <f>EA3297+1</f>
        <v>12</v>
      </c>
      <c r="EB3301" s="1279" t="s">
        <v>2133</v>
      </c>
      <c r="EC3301" s="1251">
        <v>110</v>
      </c>
    </row>
    <row r="3302" spans="131:133" ht="14.25">
      <c r="EA3302" s="137"/>
      <c r="EB3302" s="1279" t="s">
        <v>1646</v>
      </c>
      <c r="EC3302" s="1280"/>
    </row>
    <row r="3303" spans="131:133" ht="14.25">
      <c r="EA3303" s="206"/>
      <c r="EB3303" s="1281" t="s">
        <v>2134</v>
      </c>
      <c r="EC3303" s="1282"/>
    </row>
    <row r="3304" spans="131:133" ht="15">
      <c r="EA3304" s="1283"/>
      <c r="EB3304" s="1277" t="s">
        <v>1647</v>
      </c>
      <c r="EC3304" s="1252"/>
    </row>
    <row r="3305" spans="131:133" ht="28.5">
      <c r="EA3305" s="1284">
        <f>EA3301+1</f>
        <v>13</v>
      </c>
      <c r="EB3305" s="1211" t="s">
        <v>1648</v>
      </c>
      <c r="EC3305" s="1265">
        <v>45</v>
      </c>
    </row>
    <row r="3306" spans="131:133" ht="15">
      <c r="EA3306" s="1285"/>
      <c r="EB3306" s="1277" t="s">
        <v>1649</v>
      </c>
      <c r="EC3306" s="1252"/>
    </row>
    <row r="3307" spans="131:133" ht="42.75">
      <c r="EA3307" s="1286">
        <f>EA3305+1</f>
        <v>14</v>
      </c>
      <c r="EB3307" s="1214" t="s">
        <v>1650</v>
      </c>
      <c r="EC3307" s="1265">
        <v>70</v>
      </c>
    </row>
    <row r="3308" spans="131:133" ht="15">
      <c r="EA3308" s="1285"/>
      <c r="EB3308" s="1277" t="s">
        <v>1651</v>
      </c>
      <c r="EC3308" s="1252"/>
    </row>
    <row r="3309" spans="131:133" ht="28.5">
      <c r="EA3309" s="1286">
        <f>EA3307+1</f>
        <v>15</v>
      </c>
      <c r="EB3309" s="1214" t="s">
        <v>1652</v>
      </c>
      <c r="EC3309" s="1265">
        <v>60</v>
      </c>
    </row>
    <row r="3310" spans="131:133" ht="15.75">
      <c r="EA3310" s="254">
        <f>EA3309+1</f>
        <v>16</v>
      </c>
      <c r="EB3310" s="1268" t="s">
        <v>1653</v>
      </c>
      <c r="EC3310" s="1252">
        <v>90</v>
      </c>
    </row>
    <row r="3311" spans="131:133" ht="15">
      <c r="EA3311" s="205">
        <f>EA3310+1</f>
        <v>17</v>
      </c>
      <c r="EB3311" s="1277" t="s">
        <v>1654</v>
      </c>
      <c r="EC3311" s="1252">
        <v>20</v>
      </c>
    </row>
    <row r="3312" spans="131:133" ht="15">
      <c r="EA3312" s="1287"/>
      <c r="EB3312" s="1288" t="s">
        <v>1655</v>
      </c>
      <c r="EC3312" s="1289"/>
    </row>
    <row r="3313" spans="131:133" ht="15">
      <c r="EA3313" s="254"/>
      <c r="EB3313" s="1290" t="s">
        <v>1656</v>
      </c>
      <c r="EC3313" s="1291"/>
    </row>
    <row r="3314" spans="131:133" ht="43.5">
      <c r="EA3314" s="257">
        <f>EA3311+1</f>
        <v>18</v>
      </c>
      <c r="EB3314" s="257" t="s">
        <v>1657</v>
      </c>
      <c r="EC3314" s="1292" t="s">
        <v>1658</v>
      </c>
    </row>
    <row r="3315" spans="131:133" ht="14.25">
      <c r="EA3315" s="1248"/>
      <c r="EB3315" s="206" t="s">
        <v>1127</v>
      </c>
      <c r="EC3315" s="1293"/>
    </row>
    <row r="3316" spans="131:133" ht="14.25">
      <c r="EA3316" s="254">
        <f>EA3314+1</f>
        <v>19</v>
      </c>
      <c r="EB3316" s="1294" t="s">
        <v>1659</v>
      </c>
      <c r="EC3316" s="1295" t="s">
        <v>1660</v>
      </c>
    </row>
    <row r="3317" spans="131:133" ht="9.75" customHeight="1">
      <c r="EA3317" s="234"/>
      <c r="EB3317" s="73"/>
      <c r="EC3317" s="73"/>
    </row>
    <row r="3318" spans="131:133" ht="18" customHeight="1">
      <c r="EA3318" s="234"/>
      <c r="EB3318" s="265" t="s">
        <v>975</v>
      </c>
      <c r="EC3318" s="265"/>
    </row>
    <row r="3319" spans="131:133" ht="18" customHeight="1">
      <c r="EA3319" s="234">
        <v>1</v>
      </c>
      <c r="EB3319" s="73" t="s">
        <v>2316</v>
      </c>
      <c r="EC3319" s="132"/>
    </row>
    <row r="3320" spans="131:133" ht="18" customHeight="1">
      <c r="EA3320" s="234">
        <v>2</v>
      </c>
      <c r="EB3320" s="73" t="s">
        <v>1959</v>
      </c>
      <c r="EC3320" s="132"/>
    </row>
    <row r="3321" spans="131:133" ht="18" customHeight="1">
      <c r="EA3321" s="132"/>
      <c r="EB3321" s="73" t="s">
        <v>1960</v>
      </c>
      <c r="EC3321" s="132"/>
    </row>
    <row r="3322" spans="131:133" ht="18" customHeight="1">
      <c r="EA3322" s="234"/>
      <c r="EB3322" s="73" t="s">
        <v>1961</v>
      </c>
      <c r="EC3322" s="132"/>
    </row>
    <row r="3323" spans="131:133" ht="18" customHeight="1">
      <c r="EA3323" s="234"/>
      <c r="EB3323" s="73" t="s">
        <v>1962</v>
      </c>
      <c r="EC3323" s="132"/>
    </row>
    <row r="3324" spans="131:133" ht="18" customHeight="1">
      <c r="EA3324" s="234">
        <v>3</v>
      </c>
      <c r="EB3324" s="112" t="s">
        <v>1963</v>
      </c>
      <c r="EC3324" s="1296"/>
    </row>
    <row r="3325" spans="131:133" ht="18" customHeight="1">
      <c r="EA3325" s="234">
        <v>4</v>
      </c>
      <c r="EB3325" s="112" t="s">
        <v>1964</v>
      </c>
      <c r="EC3325" s="1296"/>
    </row>
    <row r="3326" spans="131:133" ht="18" customHeight="1">
      <c r="EA3326" s="266"/>
      <c r="EB3326" s="112" t="s">
        <v>1965</v>
      </c>
      <c r="EC3326" s="1296"/>
    </row>
    <row r="3327" spans="131:133" ht="18" customHeight="1">
      <c r="EA3327" s="234">
        <v>5</v>
      </c>
      <c r="EB3327" s="112" t="s">
        <v>1661</v>
      </c>
      <c r="EC3327" s="1296"/>
    </row>
    <row r="3328" spans="131:133" ht="18" customHeight="1">
      <c r="EA3328" s="234"/>
      <c r="EB3328" s="112" t="s">
        <v>1662</v>
      </c>
      <c r="EC3328" s="1296"/>
    </row>
    <row r="3329" spans="131:133" ht="18" customHeight="1">
      <c r="EA3329" s="234"/>
      <c r="EB3329" s="112" t="s">
        <v>1663</v>
      </c>
      <c r="EC3329" s="1296"/>
    </row>
    <row r="3330" spans="131:133" ht="18" customHeight="1">
      <c r="EA3330" s="156">
        <v>6</v>
      </c>
      <c r="EB3330" s="1297" t="s">
        <v>1664</v>
      </c>
      <c r="EC3330" s="1298"/>
    </row>
    <row r="3331" spans="131:133" ht="18" customHeight="1">
      <c r="EA3331" s="156"/>
      <c r="EB3331" s="267" t="s">
        <v>2317</v>
      </c>
      <c r="EC3331" s="1232"/>
    </row>
    <row r="3332" spans="131:133" ht="18" customHeight="1">
      <c r="EA3332" s="156"/>
      <c r="EB3332" s="1299" t="s">
        <v>1665</v>
      </c>
      <c r="EC3332" s="1300"/>
    </row>
    <row r="3333" spans="131:133" ht="18" customHeight="1">
      <c r="EA3333" s="234">
        <v>7</v>
      </c>
      <c r="EB3333" s="401" t="s">
        <v>1666</v>
      </c>
      <c r="EC3333" s="1301"/>
    </row>
    <row r="3334" spans="131:133" ht="4.5" customHeight="1">
      <c r="EA3334" s="1301"/>
      <c r="EB3334" s="73"/>
      <c r="EC3334" s="73"/>
    </row>
    <row r="3335" spans="131:133" ht="18" customHeight="1">
      <c r="EA3335" s="1302" t="s">
        <v>1667</v>
      </c>
      <c r="EB3335" s="1303"/>
      <c r="EC3335" s="1304"/>
    </row>
    <row r="3336" spans="131:133" ht="18" customHeight="1">
      <c r="EA3336" s="1305" t="s">
        <v>1243</v>
      </c>
      <c r="EB3336" s="399"/>
      <c r="EC3336" s="1235"/>
    </row>
    <row r="3337" spans="131:133" ht="18" customHeight="1">
      <c r="EA3337" s="1305" t="s">
        <v>2269</v>
      </c>
      <c r="EB3337" s="399"/>
      <c r="EC3337" s="1235"/>
    </row>
    <row r="3338" spans="131:133" ht="18" customHeight="1">
      <c r="EA3338" s="1305" t="s">
        <v>1244</v>
      </c>
      <c r="EB3338" s="399"/>
      <c r="EC3338" s="1235"/>
    </row>
    <row r="3339" spans="131:133" ht="18" customHeight="1">
      <c r="EA3339" s="1305" t="s">
        <v>1245</v>
      </c>
      <c r="EB3339" s="399"/>
      <c r="EC3339" s="1235"/>
    </row>
    <row r="3340" spans="131:133" ht="18" customHeight="1">
      <c r="EA3340" s="1305" t="s">
        <v>1548</v>
      </c>
      <c r="EB3340" s="399"/>
      <c r="EC3340" s="1235"/>
    </row>
    <row r="3341" spans="131:133" ht="18" customHeight="1">
      <c r="EA3341" s="1305" t="s">
        <v>1549</v>
      </c>
      <c r="EB3341" s="399"/>
      <c r="EC3341" s="1235"/>
    </row>
    <row r="3342" spans="131:133" ht="9" customHeight="1">
      <c r="EA3342" s="1306"/>
      <c r="EB3342" s="72"/>
      <c r="EC3342" s="260"/>
    </row>
    <row r="3343" spans="131:133" ht="18" customHeight="1">
      <c r="EA3343" s="67" t="s">
        <v>1550</v>
      </c>
      <c r="EB3343" s="67"/>
      <c r="EC3343" s="67"/>
    </row>
    <row r="3344" spans="131:133" ht="18" customHeight="1">
      <c r="EA3344" s="67" t="s">
        <v>1551</v>
      </c>
      <c r="EB3344" s="67"/>
      <c r="EC3344" s="67"/>
    </row>
  </sheetData>
  <sheetProtection password="AD1F" sheet="1" objects="1" scenarios="1"/>
  <mergeCells count="143">
    <mergeCell ref="BF517:BG517"/>
    <mergeCell ref="AO1908:AQ1908"/>
    <mergeCell ref="AO784:AR784"/>
    <mergeCell ref="AP1139:AQ1139"/>
    <mergeCell ref="AR1139:AS1139"/>
    <mergeCell ref="AR1145:AS1145"/>
    <mergeCell ref="AN1145:AO1145"/>
    <mergeCell ref="AP1142:AQ1142"/>
    <mergeCell ref="AM931:AN931"/>
    <mergeCell ref="AN935:AO935"/>
    <mergeCell ref="AT785:AU785"/>
    <mergeCell ref="AT951:AU951"/>
    <mergeCell ref="AN943:AO943"/>
    <mergeCell ref="AN944:AO944"/>
    <mergeCell ref="AN945:AO945"/>
    <mergeCell ref="AN946:AO946"/>
    <mergeCell ref="AN938:AO938"/>
    <mergeCell ref="AN939:AO939"/>
    <mergeCell ref="AN940:AO940"/>
    <mergeCell ref="AN942:AO942"/>
    <mergeCell ref="AQ930:AT930"/>
    <mergeCell ref="AR931:AS931"/>
    <mergeCell ref="AT931:AU931"/>
    <mergeCell ref="AT975:AU975"/>
    <mergeCell ref="AN936:AO936"/>
    <mergeCell ref="AN937:AO937"/>
    <mergeCell ref="AT1140:AU1140"/>
    <mergeCell ref="AT1142:AU1142"/>
    <mergeCell ref="AT1141:AU1141"/>
    <mergeCell ref="AT1139:AU1139"/>
    <mergeCell ref="AN1143:AO1143"/>
    <mergeCell ref="AP1143:AQ1143"/>
    <mergeCell ref="AR1143:AS1143"/>
    <mergeCell ref="AP1140:AQ1140"/>
    <mergeCell ref="AR1140:AS1140"/>
    <mergeCell ref="AN1141:AO1141"/>
    <mergeCell ref="AP1141:AQ1141"/>
    <mergeCell ref="AM1920:AO1920"/>
    <mergeCell ref="AR1144:AS1144"/>
    <mergeCell ref="AN1146:AO1146"/>
    <mergeCell ref="AP1146:AQ1146"/>
    <mergeCell ref="AR1146:AS1146"/>
    <mergeCell ref="AP1786:AS1786"/>
    <mergeCell ref="AP1787:AS1787"/>
    <mergeCell ref="AP1784:AS1784"/>
    <mergeCell ref="AP1785:AS1785"/>
    <mergeCell ref="AP1145:AQ1145"/>
    <mergeCell ref="AP1782:AS1782"/>
    <mergeCell ref="AP1783:AS1783"/>
    <mergeCell ref="AN1144:AO1144"/>
    <mergeCell ref="AP1144:AQ1144"/>
    <mergeCell ref="AR1503:AS1503"/>
    <mergeCell ref="AQ1504:AR1504"/>
    <mergeCell ref="AN1505:AO1505"/>
    <mergeCell ref="AT1751:AU1751"/>
    <mergeCell ref="AD346:AE346"/>
    <mergeCell ref="P275:R275"/>
    <mergeCell ref="P311:R311"/>
    <mergeCell ref="S311:U311"/>
    <mergeCell ref="S275:U275"/>
    <mergeCell ref="X344:AC344"/>
    <mergeCell ref="Y345:AC345"/>
    <mergeCell ref="AA346:AC346"/>
    <mergeCell ref="AT1143:AU1143"/>
    <mergeCell ref="AT1613:AU1613"/>
    <mergeCell ref="AT1377:AU1377"/>
    <mergeCell ref="AR1141:AS1141"/>
    <mergeCell ref="AR1142:AS1142"/>
    <mergeCell ref="AT1144:AU1144"/>
    <mergeCell ref="AT1146:AU1146"/>
    <mergeCell ref="AT1145:AU1145"/>
    <mergeCell ref="AR1502:AS1502"/>
    <mergeCell ref="AQ1520:AT1520"/>
    <mergeCell ref="AM1549:AR1549"/>
    <mergeCell ref="AR656:AS656"/>
    <mergeCell ref="AQ1086:AR1086"/>
    <mergeCell ref="AN496:AQ496"/>
    <mergeCell ref="AT1612:AU1612"/>
    <mergeCell ref="AO1034:AP1034"/>
    <mergeCell ref="AM656:AO656"/>
    <mergeCell ref="AM657:AO657"/>
    <mergeCell ref="AN1139:AO1139"/>
    <mergeCell ref="AN1140:AO1140"/>
    <mergeCell ref="AN1142:AO1142"/>
    <mergeCell ref="AT781:AU781"/>
    <mergeCell ref="AT783:AU783"/>
    <mergeCell ref="AQ1098:AR1098"/>
    <mergeCell ref="AP1089:AS1089"/>
    <mergeCell ref="AP1090:AS1090"/>
    <mergeCell ref="AP1095:AS1095"/>
    <mergeCell ref="AP1091:AS1091"/>
    <mergeCell ref="AP1092:AS1092"/>
    <mergeCell ref="AP1093:AS1093"/>
    <mergeCell ref="AP1094:AS1094"/>
    <mergeCell ref="AT1753:AU1753"/>
    <mergeCell ref="AO1754:AR1754"/>
    <mergeCell ref="AT1755:AU1755"/>
    <mergeCell ref="AQ1779:AR1779"/>
    <mergeCell ref="AP1788:AS1788"/>
    <mergeCell ref="AQ1791:AR1791"/>
    <mergeCell ref="AN1797:AO1797"/>
    <mergeCell ref="AP1797:AQ1797"/>
    <mergeCell ref="AR1797:AS1797"/>
    <mergeCell ref="AT1797:AU1797"/>
    <mergeCell ref="AN1798:AO1798"/>
    <mergeCell ref="AP1798:AQ1798"/>
    <mergeCell ref="AR1798:AS1798"/>
    <mergeCell ref="AT1798:AU1798"/>
    <mergeCell ref="AR1801:AS1801"/>
    <mergeCell ref="AT1801:AU1801"/>
    <mergeCell ref="AN1800:AO1800"/>
    <mergeCell ref="AP1800:AQ1800"/>
    <mergeCell ref="AR1800:AS1800"/>
    <mergeCell ref="AT1800:AU1800"/>
    <mergeCell ref="AN1801:AO1801"/>
    <mergeCell ref="AP1801:AQ1801"/>
    <mergeCell ref="AT1803:AU1803"/>
    <mergeCell ref="AN1802:AO1802"/>
    <mergeCell ref="AP1802:AQ1802"/>
    <mergeCell ref="AR1802:AS1802"/>
    <mergeCell ref="AT1802:AU1802"/>
    <mergeCell ref="AP1805:AQ1805"/>
    <mergeCell ref="AR1805:AS1805"/>
    <mergeCell ref="AN1803:AO1803"/>
    <mergeCell ref="AP1803:AQ1803"/>
    <mergeCell ref="AR1803:AS1803"/>
    <mergeCell ref="AN1804:AO1804"/>
    <mergeCell ref="AN1805:AO1805"/>
    <mergeCell ref="AQ1869:AT1869"/>
    <mergeCell ref="AN1799:AO1799"/>
    <mergeCell ref="AP1799:AQ1799"/>
    <mergeCell ref="AR1799:AS1799"/>
    <mergeCell ref="AT1799:AU1799"/>
    <mergeCell ref="AN1858:AO1858"/>
    <mergeCell ref="AT1805:AU1805"/>
    <mergeCell ref="AP1804:AQ1804"/>
    <mergeCell ref="AR1804:AS1804"/>
    <mergeCell ref="AT1804:AU1804"/>
    <mergeCell ref="AN1836:AO1836"/>
    <mergeCell ref="AN1831:AO1831"/>
    <mergeCell ref="AN1832:AO1832"/>
    <mergeCell ref="AN1833:AO1833"/>
    <mergeCell ref="AN1835:AO1835"/>
  </mergeCells>
  <conditionalFormatting sqref="AM2240:AM2242 AM2577:AM2579 AT1935:AT1937 AN1924:AN1926 AS1987:AS1989 AS2052:AS2054 AM2093:AM2095 AM2200:AM2202 AM1899 BF1856:BF1884 BF1577:BF1579 BF1659:BF1661 AM1691:AM1693 BF1696:BF1736 AM1650:AM1652 BF1001:BF1003 BF1112:BF1114 BF1161:BF1163 BF1215:BF1217 BF1296:BF1298 BF1403:BF1405 A2 A4 B174 B176 I168 I170 I269 I271 N340 N342 BF514:BF515 BF517 X338 BF640:BF642 BF716:BF718 BF845:BF847 X336 BF555:BF556">
    <cfRule type="expression" priority="1" dxfId="0" stopIfTrue="1">
      <formula>$A$3&lt;&gt;$DD$3</formula>
    </cfRule>
    <cfRule type="expression" priority="2" dxfId="0" stopIfTrue="1">
      <formula>$AM$556&lt;&gt;$DD$2</formula>
    </cfRule>
    <cfRule type="expression" priority="3" dxfId="0" stopIfTrue="1">
      <formula>$AN$1149&lt;&gt;$DD$5</formula>
    </cfRule>
  </conditionalFormatting>
  <conditionalFormatting sqref="BF2092 BF2230 AN1927:AT1927 AQ1898:AS1898 AO1898 AO1904:AT1904 AO1796:AU1796 BG1577:BH1577 BG1579:BH1579 BG1659:BH1659 BG1661:BH1661 BG1403:BH1403 BG1161:BH1161 BG1215:BH1215 BG1296:BH1296 BG1217:BH1217 BG1163:BH1163 BG1298:BH1298 BG1405:BH1405 BG1003:BH1003 BG1114:BH1114 BG1001:BH1001 BF1397 BG1112:BH1112 BG642:BH642 BG718:BH718 BG556:BH556 BG640:BH640 BG716:BH716 BG845:BH845 BG847:BH847 H258:H262">
    <cfRule type="expression" priority="4" dxfId="0" stopIfTrue="1">
      <formula>$AN$1149&lt;&gt;$DD$5</formula>
    </cfRule>
    <cfRule type="expression" priority="5" dxfId="0" stopIfTrue="1">
      <formula>$AM$555&lt;&gt;$DD$2</formula>
    </cfRule>
    <cfRule type="expression" priority="6" dxfId="0" stopIfTrue="1">
      <formula>$DD$7&lt;=0</formula>
    </cfRule>
  </conditionalFormatting>
  <conditionalFormatting sqref="AM1919:AU1921 AO1899:AU1899 AM1900:AU1903 AM1904 AM1896:AM1897 AO1893:AS1897 AN1884:AN1898 AT1884:AU1897 AO1884:AS1891 AN1840:AU1883 AM1839:AM1894 AM1737:AU1795 AM1545:AM1648 AS1545:AU1648 AN1545:AR1548 AN1550:AR1648 AR948:AS1011 AR1016:AS1470 AM1471:AU1544 I213:L262 AT1797:AT1827 AT948:AU1470 AM948:AQ1470 A35:E172 H213:H257 AM1838:AU1838 AM1797:AS1828 AU1797:AU1828 AM555:AU562 AM590:AU903 AM1699:AU1734">
    <cfRule type="expression" priority="7" dxfId="0" stopIfTrue="1">
      <formula>$AN$1149&lt;&gt;$DD$5</formula>
    </cfRule>
    <cfRule type="expression" priority="8" dxfId="0" stopIfTrue="1">
      <formula>$AM$556&lt;&gt;$DD$2</formula>
    </cfRule>
    <cfRule type="expression" priority="9" dxfId="0" stopIfTrue="1">
      <formula>$DD$7&lt;=0</formula>
    </cfRule>
  </conditionalFormatting>
  <conditionalFormatting sqref="AM1694 C174:D174 A1 B4:E4 O340:T340 B1:E2 V379 J271:K271 O342:T342 C176:D176 J269:K269 A174">
    <cfRule type="expression" priority="10" dxfId="0" stopIfTrue="1">
      <formula>$A$1&lt;&gt;$DD$3</formula>
    </cfRule>
    <cfRule type="expression" priority="11" dxfId="0" stopIfTrue="1">
      <formula>$AM$555&lt;&gt;$DD$2</formula>
    </cfRule>
    <cfRule type="expression" priority="12" dxfId="0" stopIfTrue="1">
      <formula>$AN$1149&lt;&gt;$DD$5</formula>
    </cfRule>
  </conditionalFormatting>
  <conditionalFormatting sqref="AY1616">
    <cfRule type="expression" priority="13" dxfId="0" stopIfTrue="1">
      <formula>$AN$1149&lt;&gt;$DD$5</formula>
    </cfRule>
    <cfRule type="expression" priority="14" dxfId="0" stopIfTrue="1">
      <formula>$AM$556&lt;&gt;$DD$2</formula>
    </cfRule>
    <cfRule type="expression" priority="15" dxfId="0" stopIfTrue="1">
      <formula>$H$177&lt;&gt;$DD$3</formula>
    </cfRule>
  </conditionalFormatting>
  <conditionalFormatting sqref="X351:AG367 R332 X373:AG373 X369:AG369 X371:AG371 U332 R317 R319 R321 R323 R325:R328 U317 U319 U321 U323 U325:U328 U303 U305:U308 R305:R308 R281 R283 R285 R287 R289 R291:R294 R297 R299 R301 U281 U283 U285 U287 U289 U291:U294 U297 U299 U301 R303 K264:L267">
    <cfRule type="cellIs" priority="16" dxfId="0" operator="greaterThanOrEqual" stopIfTrue="1">
      <formula>0</formula>
    </cfRule>
  </conditionalFormatting>
  <conditionalFormatting sqref="I174:L178 H174">
    <cfRule type="expression" priority="17" dxfId="0" stopIfTrue="1">
      <formula>$AM$512&lt;&gt;$DD$2</formula>
    </cfRule>
    <cfRule type="expression" priority="18" dxfId="0" stopIfTrue="1">
      <formula>$H$174&lt;&gt;$DD$3</formula>
    </cfRule>
    <cfRule type="expression" priority="19" dxfId="0" stopIfTrue="1">
      <formula>$AM$553&lt;&gt;$DD$4</formula>
    </cfRule>
  </conditionalFormatting>
  <conditionalFormatting sqref="H175:H178">
    <cfRule type="expression" priority="20" dxfId="0" stopIfTrue="1">
      <formula>$AM$513&lt;&gt;$DD$2</formula>
    </cfRule>
    <cfRule type="expression" priority="21" dxfId="0" stopIfTrue="1">
      <formula>$H$177&lt;&gt;$DD$3</formula>
    </cfRule>
    <cfRule type="expression" priority="22" dxfId="0" stopIfTrue="1">
      <formula>$AM$553&lt;&gt;$DD$4</formula>
    </cfRule>
  </conditionalFormatting>
  <conditionalFormatting sqref="B3:E3">
    <cfRule type="expression" priority="23" dxfId="0" stopIfTrue="1">
      <formula>$A$3&lt;&gt;$DD$3</formula>
    </cfRule>
    <cfRule type="expression" priority="24" dxfId="0" stopIfTrue="1">
      <formula>$AM$554&lt;&gt;$DD$2</formula>
    </cfRule>
    <cfRule type="expression" priority="25" dxfId="0" stopIfTrue="1">
      <formula>$AN$1147&lt;&gt;$DD$5</formula>
    </cfRule>
  </conditionalFormatting>
  <conditionalFormatting sqref="A5:E34 H179:L212 AM563:AU589">
    <cfRule type="expression" priority="26" dxfId="1" stopIfTrue="1">
      <formula>$AN$1149&lt;&gt;$DD$5</formula>
    </cfRule>
    <cfRule type="expression" priority="27" dxfId="0" stopIfTrue="1">
      <formula>$AM$556&lt;&gt;$DD$2</formula>
    </cfRule>
    <cfRule type="expression" priority="28" dxfId="1" stopIfTrue="1">
      <formula>$DD$7&lt;=0</formula>
    </cfRule>
  </conditionalFormatting>
  <dataValidations count="3">
    <dataValidation type="date" allowBlank="1" showInputMessage="1" showErrorMessage="1" promptTitle="Георги Мичев:" prompt="Според настройката на Вашия Excel:&#10;31/12/2000 или 12/31/2000" errorTitle="Георги Мичев:" error="Според настройката на Вашия Excel въведете:&#10;31/12/2000 или 12/31/2000" sqref="A4">
      <formula1>1</formula1>
      <formula2>72686</formula2>
    </dataValidation>
    <dataValidation type="whole" operator="lessThan" allowBlank="1" showInputMessage="1" showErrorMessage="1" errorTitle="Георги Мичев:" error="Въведете числото със знак минус" sqref="K199:L199 K197:L197 D111:E113 D126:E126 D54:E54">
      <formula1>1</formula1>
    </dataValidation>
    <dataValidation type="whole" operator="greaterThanOrEqual" allowBlank="1" showInputMessage="1" showErrorMessage="1" errorTitle="Георги Мичев:" error="Въведете числото в абсолютна стойност" sqref="K256:L256 K221:L221 K219:L219 K254:L254">
      <formula1>0</formula1>
    </dataValidation>
  </dataValidations>
  <printOptions horizontalCentered="1"/>
  <pageMargins left="0.5905511811023623" right="0.1968503937007874" top="0.5905511811023623" bottom="0.5905511811023623" header="0.1968503937007874" footer="0.1968503937007874"/>
  <pageSetup blackAndWhite="1" horizontalDpi="300" verticalDpi="300" orientation="portrait" paperSize="9" r:id="rId4"/>
  <headerFooter alignWithMargins="0">
    <oddHeader xml:space="preserve">&amp;C&amp;P&amp;R </oddHeader>
    <oddFooter>&amp;L&amp;8    "ВИНЗАВОД"  АД - гр. АСЕНОВГРАД</oddFooter>
  </headerFooter>
  <rowBreaks count="44" manualBreakCount="44">
    <brk id="45" max="255" man="1"/>
    <brk id="99" max="255" man="1"/>
    <brk id="144" max="255" man="1"/>
    <brk id="172" max="255" man="1"/>
    <brk id="223" max="255" man="1"/>
    <brk id="262" max="255" man="1"/>
    <brk id="308" max="255" man="1"/>
    <brk id="338" max="255" man="1"/>
    <brk id="553" max="255" man="1"/>
    <brk id="599" max="255" man="1"/>
    <brk id="631" max="255" man="1"/>
    <brk id="671" max="255" man="1"/>
    <brk id="718" max="255" man="1"/>
    <brk id="749" max="255" man="1"/>
    <brk id="785" max="255" man="1"/>
    <brk id="823" max="255" man="1"/>
    <brk id="854" max="255" man="1"/>
    <brk id="902" max="255" man="1"/>
    <brk id="947" max="255" man="1"/>
    <brk id="983" max="255" man="1"/>
    <brk id="1019" max="255" man="1"/>
    <brk id="1059" max="255" man="1"/>
    <brk id="1101" max="255" man="1"/>
    <brk id="1149" max="255" man="1"/>
    <brk id="1179" max="255" man="1"/>
    <brk id="1212" max="255" man="1"/>
    <brk id="1248" max="255" man="1"/>
    <brk id="1281" max="255" man="1"/>
    <brk id="1325" max="255" man="1"/>
    <brk id="1373" max="255" man="1"/>
    <brk id="1422" max="255" man="1"/>
    <brk id="1469" max="255" man="1"/>
    <brk id="1507" max="255" man="1"/>
    <brk id="1544" max="255" man="1"/>
    <brk id="1587" max="255" man="1"/>
    <brk id="1616" max="255" man="1"/>
    <brk id="1648" max="255" man="1"/>
    <brk id="1689" max="255" man="1"/>
    <brk id="1735" max="255" man="1"/>
    <brk id="1770" max="255" man="1"/>
    <brk id="1810" max="255" man="1"/>
    <brk id="1844" max="255" man="1"/>
    <brk id="1887" max="255" man="1"/>
    <brk id="192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2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1.00390625" style="0" bestFit="1" customWidth="1"/>
  </cols>
  <sheetData>
    <row r="2" spans="1:27" ht="14.25">
      <c r="A2" s="271" t="s">
        <v>308</v>
      </c>
      <c r="C2" s="271">
        <f>+Анализ!AO512</f>
        <v>0</v>
      </c>
      <c r="AA2" s="271" t="str">
        <f>+Анализ!AM513</f>
        <v>"В И Н З А В О Д"  А Д - гр. АСЕНОВГРАД</v>
      </c>
    </row>
    <row r="3" spans="1:27" ht="14.25">
      <c r="A3" s="271" t="s">
        <v>309</v>
      </c>
      <c r="AA3" s="271" t="str">
        <f>+Анализ!A3</f>
        <v>на  "ВИНЗАВОД"  АД - гр. Асеновград  към</v>
      </c>
    </row>
    <row r="4" spans="1:27" ht="14.25">
      <c r="A4" s="271" t="s">
        <v>310</v>
      </c>
      <c r="B4" s="603">
        <f>Анализ!A4</f>
        <v>39813</v>
      </c>
      <c r="AA4" s="271" t="str">
        <f>+Анализ!AM553</f>
        <v>Програмата е разработена от фирма "Дайк" - тел.: (032) 25 30 60; GSM: 088 72 72 248;  ICQ: 338172185                                           E-mail: michev@evrocom.net   Web: www.daik.dir.bg</v>
      </c>
    </row>
    <row r="5" spans="1:27" ht="14.25">
      <c r="A5" s="271" t="s">
        <v>308</v>
      </c>
      <c r="B5" s="603"/>
      <c r="AA5" s="271" t="str">
        <f>+Анализ!AN1149</f>
        <v>"В И Н З А В О Д"  А Д - гр. АСЕНОВГРАД</v>
      </c>
    </row>
    <row r="6" spans="1:27" ht="14.25">
      <c r="A6" s="270">
        <f ca="1">TODAY()</f>
        <v>39898</v>
      </c>
      <c r="B6" s="603"/>
      <c r="AA6" s="270">
        <f ca="1">TODAY()</f>
        <v>39898</v>
      </c>
    </row>
    <row r="7" spans="1:27" ht="14.25">
      <c r="A7" s="270">
        <v>40981</v>
      </c>
      <c r="B7" s="603">
        <f>A7</f>
        <v>40981</v>
      </c>
      <c r="AA7" s="270">
        <f>$A$7</f>
        <v>40981</v>
      </c>
    </row>
    <row r="8" spans="1:27" ht="14.25">
      <c r="A8" s="271"/>
      <c r="B8" s="603"/>
      <c r="AA8" s="271">
        <f>+Анализ!D5</f>
        <v>0</v>
      </c>
    </row>
    <row r="9" spans="2:27" ht="14.25">
      <c r="B9" s="603">
        <f>B7-B4</f>
        <v>1168</v>
      </c>
      <c r="AA9" s="272">
        <f>DAYS360(AA6,AA7,4)+AA8</f>
        <v>1067</v>
      </c>
    </row>
    <row r="10" ht="14.25">
      <c r="A10" s="63"/>
    </row>
    <row r="11" spans="2:27" ht="14.25">
      <c r="B11" s="273">
        <f>IF(AND($A$2=$AA$2,$A$3=$AA$3,$A$4=$AA$4,$A$5=$AA$5,$AA$9&gt;0,Анализ!$AM$513&lt;&gt;"",Анализ!$A$3&lt;&gt;"",$B$9&gt;0),"","Имате  проблем  с  програмата - в анализа ще има много грешки !!!                             ")</f>
      </c>
      <c r="AA11" s="271">
        <f>$B$11</f>
      </c>
    </row>
    <row r="12" spans="3:27" ht="14.25">
      <c r="C12" s="273">
        <f>IF(AND($A$14=$AA$2,$A$15=$AA$15,$A$4=$AA$4,$A$5=$AA$5,$AA$9&gt;0,Анализ!$AM$513&lt;&gt;"",Анализ!$A$3&lt;&gt;"",$B$9&gt;0),"","Обадете се във фирма 'Дайк' за указания !!!                             ")</f>
      </c>
      <c r="AA12" s="271">
        <f>$C$12</f>
      </c>
    </row>
    <row r="14" spans="1:27" ht="14.25">
      <c r="A14" s="271" t="s">
        <v>308</v>
      </c>
      <c r="AA14" s="271" t="str">
        <f>+Анализ!AM556</f>
        <v>"В И Н З А В О Д"  А Д - гр. АСЕНОВГРАД</v>
      </c>
    </row>
    <row r="15" spans="1:27" ht="14.25">
      <c r="A15" s="271" t="s">
        <v>309</v>
      </c>
      <c r="AA15" s="271" t="str">
        <f>+Анализ!H177</f>
        <v>на  "ВИНЗАВОД"  АД - гр. Асеновград  към</v>
      </c>
    </row>
    <row r="19" ht="14.25" hidden="1"/>
    <row r="21" spans="2:5" ht="14.25">
      <c r="B21" s="603">
        <f>IF(B11="",1,8000000)</f>
        <v>1</v>
      </c>
      <c r="E21" s="273" t="s">
        <v>2425</v>
      </c>
    </row>
    <row r="22" ht="14.25">
      <c r="E22" s="273" t="str">
        <f>+A2</f>
        <v>"В И Н З А В О Д"  А Д - гр. АСЕНОВГРАД</v>
      </c>
    </row>
  </sheetData>
  <sheetProtection password="AD1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Мичев</dc:creator>
  <cp:keywords/>
  <dc:description/>
  <cp:lastModifiedBy>flay</cp:lastModifiedBy>
  <cp:lastPrinted>2009-03-13T21:39:39Z</cp:lastPrinted>
  <dcterms:created xsi:type="dcterms:W3CDTF">2002-02-25T06:43:21Z</dcterms:created>
  <dcterms:modified xsi:type="dcterms:W3CDTF">2009-03-26T09:40:54Z</dcterms:modified>
  <cp:category/>
  <cp:version/>
  <cp:contentType/>
  <cp:contentStatus/>
</cp:coreProperties>
</file>